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T:\+QM\QS\014_CMRT Reporting für Kunden\Aktuelle Reporte\"/>
    </mc:Choice>
  </mc:AlternateContent>
  <xr:revisionPtr revIDLastSave="0" documentId="13_ncr:1_{3DE528A1-4FFB-4613-93E5-47EB4DDF5C6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5440" windowHeight="1527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B18" i="5"/>
  <c r="T18" i="5" s="1"/>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T5" i="5"/>
  <c r="V5" i="5"/>
  <c r="X5" i="5"/>
  <c r="S5" i="5"/>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8" i="5"/>
  <c r="V18" i="5" s="1"/>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7" i="5"/>
  <c r="X8" i="5"/>
  <c r="V9" i="5"/>
  <c r="V10" i="5"/>
  <c r="X10" i="5"/>
  <c r="V11" i="5"/>
  <c r="V12" i="5"/>
  <c r="X12" i="5"/>
  <c r="V13" i="5"/>
  <c r="V14" i="5"/>
  <c r="X14" i="5"/>
  <c r="V15" i="5"/>
  <c r="V16" i="5"/>
  <c r="R16" i="5" s="1"/>
  <c r="X16" i="5"/>
  <c r="V17" i="5"/>
  <c r="V19" i="5"/>
  <c r="E19" i="5"/>
  <c r="X19" i="5" s="1"/>
  <c r="V20" i="5"/>
  <c r="E20" i="5"/>
  <c r="X20" i="5" s="1"/>
  <c r="V21" i="5"/>
  <c r="E21" i="5"/>
  <c r="V22" i="5"/>
  <c r="E22" i="5"/>
  <c r="X22" i="5" s="1"/>
  <c r="V23" i="5"/>
  <c r="E23" i="5"/>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X147" i="5" s="1"/>
  <c r="V148" i="5"/>
  <c r="E148" i="5"/>
  <c r="X148" i="5" s="1"/>
  <c r="V149" i="5"/>
  <c r="E149" i="5"/>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V192" i="5"/>
  <c r="E192" i="5"/>
  <c r="V193" i="5"/>
  <c r="E193" i="5"/>
  <c r="X193" i="5" s="1"/>
  <c r="V194" i="5"/>
  <c r="E194" i="5"/>
  <c r="X194" i="5" s="1"/>
  <c r="V195" i="5"/>
  <c r="E195" i="5"/>
  <c r="X195" i="5" s="1"/>
  <c r="V196" i="5"/>
  <c r="E196" i="5"/>
  <c r="X196" i="5" s="1"/>
  <c r="V197" i="5"/>
  <c r="E197" i="5"/>
  <c r="V198" i="5"/>
  <c r="E198" i="5"/>
  <c r="X198" i="5" s="1"/>
  <c r="V199" i="5"/>
  <c r="E199" i="5"/>
  <c r="X199" i="5" s="1"/>
  <c r="V200" i="5"/>
  <c r="E200" i="5"/>
  <c r="X200" i="5" s="1"/>
  <c r="V201" i="5"/>
  <c r="E201" i="5"/>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V282" i="5"/>
  <c r="E282" i="5"/>
  <c r="X282" i="5" s="1"/>
  <c r="V283" i="5"/>
  <c r="E283" i="5"/>
  <c r="X283" i="5" s="1"/>
  <c r="V284" i="5"/>
  <c r="E284" i="5"/>
  <c r="X284" i="5" s="1"/>
  <c r="V285" i="5"/>
  <c r="E285" i="5"/>
  <c r="V286" i="5"/>
  <c r="E286" i="5"/>
  <c r="X286" i="5" s="1"/>
  <c r="V287" i="5"/>
  <c r="E287" i="5"/>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V300" i="5"/>
  <c r="E300" i="5"/>
  <c r="X300" i="5" s="1"/>
  <c r="V301" i="5"/>
  <c r="E301" i="5"/>
  <c r="X301" i="5" s="1"/>
  <c r="V302" i="5"/>
  <c r="E302" i="5"/>
  <c r="X302" i="5" s="1"/>
  <c r="V303" i="5"/>
  <c r="E303" i="5"/>
  <c r="V304" i="5"/>
  <c r="E304" i="5"/>
  <c r="X304" i="5" s="1"/>
  <c r="V305" i="5"/>
  <c r="E305" i="5"/>
  <c r="V306" i="5"/>
  <c r="E306" i="5"/>
  <c r="X306" i="5" s="1"/>
  <c r="V307" i="5"/>
  <c r="E307" i="5"/>
  <c r="X307" i="5" s="1"/>
  <c r="V308" i="5"/>
  <c r="E308" i="5"/>
  <c r="X308" i="5" s="1"/>
  <c r="V309" i="5"/>
  <c r="E309" i="5"/>
  <c r="V310" i="5"/>
  <c r="E310" i="5"/>
  <c r="X310" i="5" s="1"/>
  <c r="V311" i="5"/>
  <c r="E311" i="5"/>
  <c r="V312" i="5"/>
  <c r="E312" i="5"/>
  <c r="X312" i="5" s="1"/>
  <c r="V313" i="5"/>
  <c r="E313" i="5"/>
  <c r="X313" i="5" s="1"/>
  <c r="V314" i="5"/>
  <c r="E314" i="5"/>
  <c r="X314" i="5" s="1"/>
  <c r="V315" i="5"/>
  <c r="E315" i="5"/>
  <c r="V316" i="5"/>
  <c r="E316" i="5"/>
  <c r="X316" i="5" s="1"/>
  <c r="V317" i="5"/>
  <c r="E317" i="5"/>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V328" i="5"/>
  <c r="E328" i="5"/>
  <c r="X328" i="5" s="1"/>
  <c r="V329" i="5"/>
  <c r="E329" i="5"/>
  <c r="X329" i="5" s="1"/>
  <c r="V330" i="5"/>
  <c r="E330" i="5"/>
  <c r="X330" i="5" s="1"/>
  <c r="V331" i="5"/>
  <c r="E331" i="5"/>
  <c r="X331" i="5" s="1"/>
  <c r="V332" i="5"/>
  <c r="E332" i="5"/>
  <c r="X332" i="5" s="1"/>
  <c r="V333" i="5"/>
  <c r="E333" i="5"/>
  <c r="V334" i="5"/>
  <c r="E334" i="5"/>
  <c r="X334" i="5" s="1"/>
  <c r="V335" i="5"/>
  <c r="E335" i="5"/>
  <c r="V336" i="5"/>
  <c r="E336" i="5"/>
  <c r="X336" i="5" s="1"/>
  <c r="V337" i="5"/>
  <c r="E337" i="5"/>
  <c r="X337" i="5" s="1"/>
  <c r="V338" i="5"/>
  <c r="E338" i="5"/>
  <c r="X338" i="5" s="1"/>
  <c r="V339" i="5"/>
  <c r="E339" i="5"/>
  <c r="V340" i="5"/>
  <c r="E340" i="5"/>
  <c r="X340" i="5" s="1"/>
  <c r="V341" i="5"/>
  <c r="E341" i="5"/>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V358" i="5"/>
  <c r="E358" i="5"/>
  <c r="X358" i="5" s="1"/>
  <c r="V359" i="5"/>
  <c r="E359" i="5"/>
  <c r="V360" i="5"/>
  <c r="E360" i="5"/>
  <c r="X360" i="5" s="1"/>
  <c r="V361" i="5"/>
  <c r="E361" i="5"/>
  <c r="X361" i="5" s="1"/>
  <c r="V362" i="5"/>
  <c r="E362" i="5"/>
  <c r="X362" i="5" s="1"/>
  <c r="V363" i="5"/>
  <c r="E363" i="5"/>
  <c r="V364" i="5"/>
  <c r="E364" i="5"/>
  <c r="X364" i="5" s="1"/>
  <c r="V365" i="5"/>
  <c r="E365" i="5"/>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V538" i="5"/>
  <c r="E538" i="5"/>
  <c r="X538" i="5" s="1"/>
  <c r="V539" i="5"/>
  <c r="E539" i="5"/>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X572" i="5" s="1"/>
  <c r="V573" i="5"/>
  <c r="E573" i="5"/>
  <c r="V574" i="5"/>
  <c r="E574" i="5"/>
  <c r="X574" i="5" s="1"/>
  <c r="V575" i="5"/>
  <c r="E575" i="5"/>
  <c r="V576" i="5"/>
  <c r="E576" i="5"/>
  <c r="X576" i="5" s="1"/>
  <c r="V577" i="5"/>
  <c r="E577" i="5"/>
  <c r="X577" i="5" s="1"/>
  <c r="V578" i="5"/>
  <c r="E578" i="5"/>
  <c r="X578" i="5" s="1"/>
  <c r="V579" i="5"/>
  <c r="E579" i="5"/>
  <c r="V580" i="5"/>
  <c r="E580" i="5"/>
  <c r="X580" i="5" s="1"/>
  <c r="V581" i="5"/>
  <c r="E581" i="5"/>
  <c r="V582" i="5"/>
  <c r="E582" i="5"/>
  <c r="X582" i="5" s="1"/>
  <c r="V583" i="5"/>
  <c r="E583" i="5"/>
  <c r="X583" i="5" s="1"/>
  <c r="V584" i="5"/>
  <c r="E584" i="5"/>
  <c r="X584" i="5" s="1"/>
  <c r="V585" i="5"/>
  <c r="E585" i="5"/>
  <c r="V586" i="5"/>
  <c r="E586" i="5"/>
  <c r="X586" i="5" s="1"/>
  <c r="V587" i="5"/>
  <c r="E587" i="5"/>
  <c r="V588" i="5"/>
  <c r="E588" i="5"/>
  <c r="X588" i="5" s="1"/>
  <c r="V589" i="5"/>
  <c r="E589" i="5"/>
  <c r="X589" i="5" s="1"/>
  <c r="V590" i="5"/>
  <c r="E590" i="5"/>
  <c r="X590" i="5" s="1"/>
  <c r="V591" i="5"/>
  <c r="E591" i="5"/>
  <c r="V592" i="5"/>
  <c r="E592" i="5"/>
  <c r="X592" i="5" s="1"/>
  <c r="V593" i="5"/>
  <c r="E593" i="5"/>
  <c r="V594" i="5"/>
  <c r="E594" i="5"/>
  <c r="X594" i="5" s="1"/>
  <c r="V595" i="5"/>
  <c r="E595" i="5"/>
  <c r="X595" i="5" s="1"/>
  <c r="V596" i="5"/>
  <c r="E596" i="5"/>
  <c r="X596" i="5" s="1"/>
  <c r="V597" i="5"/>
  <c r="E597" i="5"/>
  <c r="V598" i="5"/>
  <c r="E598" i="5"/>
  <c r="X598" i="5" s="1"/>
  <c r="V599" i="5"/>
  <c r="E599" i="5"/>
  <c r="V600" i="5"/>
  <c r="E600" i="5"/>
  <c r="X600" i="5" s="1"/>
  <c r="V601" i="5"/>
  <c r="E601" i="5"/>
  <c r="X601" i="5" s="1"/>
  <c r="V602" i="5"/>
  <c r="E602" i="5"/>
  <c r="X602" i="5" s="1"/>
  <c r="V603" i="5"/>
  <c r="E603" i="5"/>
  <c r="V604" i="5"/>
  <c r="E604" i="5"/>
  <c r="X604" i="5" s="1"/>
  <c r="V605" i="5"/>
  <c r="E605" i="5"/>
  <c r="V606" i="5"/>
  <c r="E606" i="5"/>
  <c r="X606" i="5" s="1"/>
  <c r="V607" i="5"/>
  <c r="E607" i="5"/>
  <c r="X607" i="5" s="1"/>
  <c r="V608" i="5"/>
  <c r="E608" i="5"/>
  <c r="X608" i="5" s="1"/>
  <c r="V609" i="5"/>
  <c r="E609" i="5"/>
  <c r="V610" i="5"/>
  <c r="E610" i="5"/>
  <c r="X610" i="5" s="1"/>
  <c r="V611" i="5"/>
  <c r="E611" i="5"/>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X630" i="5" s="1"/>
  <c r="V631" i="5"/>
  <c r="E631" i="5"/>
  <c r="X631" i="5" s="1"/>
  <c r="V632" i="5"/>
  <c r="E632" i="5"/>
  <c r="X632" i="5" s="1"/>
  <c r="V633" i="5"/>
  <c r="E633" i="5"/>
  <c r="V634" i="5"/>
  <c r="E634" i="5"/>
  <c r="X634" i="5" s="1"/>
  <c r="V635" i="5"/>
  <c r="E635" i="5"/>
  <c r="V636" i="5"/>
  <c r="E636" i="5"/>
  <c r="X636" i="5" s="1"/>
  <c r="V637" i="5"/>
  <c r="E637" i="5"/>
  <c r="X637" i="5" s="1"/>
  <c r="V638" i="5"/>
  <c r="E638" i="5"/>
  <c r="X638" i="5" s="1"/>
  <c r="V639" i="5"/>
  <c r="E639" i="5"/>
  <c r="V640" i="5"/>
  <c r="E640" i="5"/>
  <c r="X640" i="5" s="1"/>
  <c r="V641" i="5"/>
  <c r="E641" i="5"/>
  <c r="V642" i="5"/>
  <c r="E642" i="5"/>
  <c r="X642" i="5" s="1"/>
  <c r="V643" i="5"/>
  <c r="E643" i="5"/>
  <c r="X643" i="5" s="1"/>
  <c r="V644" i="5"/>
  <c r="E644" i="5"/>
  <c r="X644" i="5" s="1"/>
  <c r="V645" i="5"/>
  <c r="E645" i="5"/>
  <c r="V646" i="5"/>
  <c r="E646" i="5"/>
  <c r="X646" i="5" s="1"/>
  <c r="V647" i="5"/>
  <c r="E647" i="5"/>
  <c r="V648" i="5"/>
  <c r="E648" i="5"/>
  <c r="X648" i="5" s="1"/>
  <c r="V649" i="5"/>
  <c r="E649" i="5"/>
  <c r="X649" i="5" s="1"/>
  <c r="V650" i="5"/>
  <c r="E650" i="5"/>
  <c r="X650" i="5" s="1"/>
  <c r="V651" i="5"/>
  <c r="E651" i="5"/>
  <c r="V652" i="5"/>
  <c r="E652" i="5"/>
  <c r="X652" i="5" s="1"/>
  <c r="V653" i="5"/>
  <c r="E653" i="5"/>
  <c r="V654" i="5"/>
  <c r="E654" i="5"/>
  <c r="X654" i="5" s="1"/>
  <c r="V655" i="5"/>
  <c r="E655" i="5"/>
  <c r="X655" i="5" s="1"/>
  <c r="V656" i="5"/>
  <c r="E656" i="5"/>
  <c r="X656" i="5" s="1"/>
  <c r="V657" i="5"/>
  <c r="E657" i="5"/>
  <c r="V658" i="5"/>
  <c r="E658" i="5"/>
  <c r="X658" i="5" s="1"/>
  <c r="V659" i="5"/>
  <c r="E659" i="5"/>
  <c r="V660" i="5"/>
  <c r="E660" i="5"/>
  <c r="X660" i="5" s="1"/>
  <c r="V661" i="5"/>
  <c r="E661" i="5"/>
  <c r="X661" i="5" s="1"/>
  <c r="V662" i="5"/>
  <c r="E662" i="5"/>
  <c r="X662" i="5" s="1"/>
  <c r="V663" i="5"/>
  <c r="E663" i="5"/>
  <c r="V664" i="5"/>
  <c r="E664" i="5"/>
  <c r="X664" i="5" s="1"/>
  <c r="V665" i="5"/>
  <c r="E665" i="5"/>
  <c r="V666" i="5"/>
  <c r="E666" i="5"/>
  <c r="X666" i="5" s="1"/>
  <c r="V667" i="5"/>
  <c r="E667" i="5"/>
  <c r="X667" i="5" s="1"/>
  <c r="V668" i="5"/>
  <c r="E668" i="5"/>
  <c r="X668" i="5" s="1"/>
  <c r="V669" i="5"/>
  <c r="E669" i="5"/>
  <c r="V670" i="5"/>
  <c r="E670" i="5"/>
  <c r="X670" i="5" s="1"/>
  <c r="V671" i="5"/>
  <c r="E671" i="5"/>
  <c r="V672" i="5"/>
  <c r="E672" i="5"/>
  <c r="X672" i="5" s="1"/>
  <c r="V673" i="5"/>
  <c r="E673" i="5"/>
  <c r="X673" i="5" s="1"/>
  <c r="V674" i="5"/>
  <c r="E674" i="5"/>
  <c r="X674" i="5" s="1"/>
  <c r="V675" i="5"/>
  <c r="E675" i="5"/>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V894" i="5"/>
  <c r="E894" i="5"/>
  <c r="X894" i="5" s="1"/>
  <c r="V895" i="5"/>
  <c r="E895" i="5"/>
  <c r="X895" i="5" s="1"/>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V970" i="5"/>
  <c r="E970" i="5"/>
  <c r="X970" i="5" s="1"/>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V1110" i="5"/>
  <c r="E1110" i="5"/>
  <c r="X1110" i="5" s="1"/>
  <c r="V1111" i="5"/>
  <c r="E1111" i="5"/>
  <c r="X1111" i="5" s="1"/>
  <c r="V1112" i="5"/>
  <c r="E1112" i="5"/>
  <c r="X1112" i="5" s="1"/>
  <c r="V1113" i="5"/>
  <c r="E1113" i="5"/>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V1320" i="5"/>
  <c r="E1320" i="5"/>
  <c r="X1320" i="5" s="1"/>
  <c r="V1321" i="5"/>
  <c r="E1321" i="5"/>
  <c r="X1321" i="5" s="1"/>
  <c r="V1322" i="5"/>
  <c r="E1322" i="5"/>
  <c r="X1322" i="5" s="1"/>
  <c r="V1323" i="5"/>
  <c r="E1323" i="5"/>
  <c r="V1324" i="5"/>
  <c r="E1324" i="5"/>
  <c r="X1324" i="5" s="1"/>
  <c r="V1325" i="5"/>
  <c r="E1325" i="5"/>
  <c r="V1326" i="5"/>
  <c r="E1326" i="5"/>
  <c r="X1326" i="5" s="1"/>
  <c r="V1327" i="5"/>
  <c r="E1327" i="5"/>
  <c r="X1327" i="5" s="1"/>
  <c r="V1328" i="5"/>
  <c r="E1328" i="5"/>
  <c r="X1328" i="5" s="1"/>
  <c r="V1329" i="5"/>
  <c r="E1329" i="5"/>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V1590" i="5"/>
  <c r="E1590" i="5"/>
  <c r="X1590" i="5" s="1"/>
  <c r="V1591" i="5"/>
  <c r="E1591" i="5"/>
  <c r="X1591" i="5" s="1"/>
  <c r="V1592" i="5"/>
  <c r="E1592" i="5"/>
  <c r="X1592" i="5" s="1"/>
  <c r="V1593" i="5"/>
  <c r="E1593" i="5"/>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V1734" i="5"/>
  <c r="E1734" i="5"/>
  <c r="X1734" i="5" s="1"/>
  <c r="V1735" i="5"/>
  <c r="E1735" i="5"/>
  <c r="X1735" i="5" s="1"/>
  <c r="V1736" i="5"/>
  <c r="E1736" i="5"/>
  <c r="X1736" i="5" s="1"/>
  <c r="V1737" i="5"/>
  <c r="E1737" i="5"/>
  <c r="V1738" i="5"/>
  <c r="E1738" i="5"/>
  <c r="X1738" i="5" s="1"/>
  <c r="V1739" i="5"/>
  <c r="E1739" i="5"/>
  <c r="V1740" i="5"/>
  <c r="E1740" i="5"/>
  <c r="X1740" i="5" s="1"/>
  <c r="V1741" i="5"/>
  <c r="E1741" i="5"/>
  <c r="X1741" i="5" s="1"/>
  <c r="V1742" i="5"/>
  <c r="E1742" i="5"/>
  <c r="X1742" i="5" s="1"/>
  <c r="V1743" i="5"/>
  <c r="E1743" i="5"/>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c r="D11" i="6" s="1"/>
  <c r="G10" i="6"/>
  <c r="H10" i="6"/>
  <c r="D10" i="6" s="1"/>
  <c r="G9" i="6"/>
  <c r="H9" i="6" s="1"/>
  <c r="D9" i="6" s="1"/>
  <c r="B8" i="6"/>
  <c r="G8" i="6"/>
  <c r="H8" i="6"/>
  <c r="D8" i="6" s="1"/>
  <c r="B7" i="6"/>
  <c r="G7" i="6"/>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X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R1261" i="5"/>
  <c r="R1265" i="5"/>
  <c r="R1269" i="5"/>
  <c r="R1273" i="5"/>
  <c r="X1277"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R1581" i="5"/>
  <c r="J1581" i="5"/>
  <c r="R1585" i="5"/>
  <c r="J1585" i="5"/>
  <c r="X1589"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s="1"/>
  <c r="G4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C17" i="6" s="1"/>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63" i="5"/>
  <c r="S598" i="5"/>
  <c r="X165" i="5"/>
  <c r="X483" i="5"/>
  <c r="X555" i="5"/>
  <c r="X21" i="5"/>
  <c r="X149" i="5"/>
  <c r="X387" i="5"/>
  <c r="S532" i="5"/>
  <c r="S356" i="5"/>
  <c r="X353" i="5"/>
  <c r="S343" i="5"/>
  <c r="X333" i="5"/>
  <c r="X335" i="5"/>
  <c r="X369" i="5"/>
  <c r="X315" i="5"/>
  <c r="S315" i="5"/>
  <c r="X327" i="5"/>
  <c r="X311" i="5"/>
  <c r="X317" i="5"/>
  <c r="X357" i="5"/>
  <c r="S357" i="5"/>
  <c r="X383" i="5"/>
  <c r="S383" i="5"/>
  <c r="X345" i="5"/>
  <c r="X285" i="5"/>
  <c r="X321" i="5"/>
  <c r="X249"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s="1"/>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H26" i="6" s="1"/>
  <c r="D26" i="6" s="1"/>
  <c r="B42" i="6"/>
  <c r="G42" i="6" s="1"/>
  <c r="B40" i="6"/>
  <c r="G40" i="6" s="1"/>
  <c r="H40" i="6" s="1"/>
  <c r="D40" i="6" s="1"/>
  <c r="B50" i="6"/>
  <c r="G50" i="6" s="1"/>
  <c r="H50" i="6" s="1"/>
  <c r="D50" i="6" s="1"/>
  <c r="B25" i="6"/>
  <c r="G25" i="6" s="1"/>
  <c r="H25" i="6" s="1"/>
  <c r="D25" i="6" s="1"/>
  <c r="B35" i="6"/>
  <c r="G35" i="6" s="1"/>
  <c r="X6" i="5"/>
  <c r="B39" i="6"/>
  <c r="G39" i="6"/>
  <c r="F24" i="6"/>
  <c r="F29" i="6" s="1"/>
  <c r="H29" i="6" s="1"/>
  <c r="D29" i="6" s="1"/>
  <c r="B44" i="6"/>
  <c r="G44" i="6" s="1"/>
  <c r="B49" i="6"/>
  <c r="G49" i="6"/>
  <c r="B34" i="6"/>
  <c r="G34" i="6"/>
  <c r="B29" i="6"/>
  <c r="G29" i="6"/>
  <c r="B24" i="6"/>
  <c r="G24" i="6"/>
  <c r="G19" i="6"/>
  <c r="H19"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c r="G20" i="6"/>
  <c r="H20" i="6" s="1"/>
  <c r="D20" i="6" s="1"/>
  <c r="B45" i="6"/>
  <c r="G45" i="6" s="1"/>
  <c r="D17" i="6"/>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J2479" i="5"/>
  <c r="I2479" i="5"/>
  <c r="R2479" i="5"/>
  <c r="H2479" i="5"/>
  <c r="F2479" i="5"/>
  <c r="F45" i="6"/>
  <c r="H45" i="6" s="1"/>
  <c r="D45" i="6" s="1"/>
  <c r="F66" i="6"/>
  <c r="F50" i="6"/>
  <c r="F30" i="6"/>
  <c r="F35" i="6"/>
  <c r="H35" i="6" s="1"/>
  <c r="D35" i="6" s="1"/>
  <c r="F40" i="6"/>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65" i="6"/>
  <c r="F49" i="6"/>
  <c r="H4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99" i="5"/>
  <c r="S599" i="5"/>
  <c r="X465" i="5"/>
  <c r="X611" i="5"/>
  <c r="S611" i="5"/>
  <c r="S601" i="5"/>
  <c r="X521" i="5"/>
  <c r="X467" i="5"/>
  <c r="X287" i="5"/>
  <c r="X407" i="5"/>
  <c r="X375" i="5"/>
  <c r="X192" i="5"/>
  <c r="X567" i="5"/>
  <c r="X281" i="5"/>
  <c r="X339" i="5"/>
  <c r="X359" i="5"/>
  <c r="X591" i="5"/>
  <c r="X411" i="5"/>
  <c r="S600" i="5"/>
  <c r="X447" i="5"/>
  <c r="X251" i="5"/>
  <c r="X365" i="5"/>
  <c r="X423" i="5"/>
  <c r="X191" i="5"/>
  <c r="X243" i="5"/>
  <c r="X569" i="5"/>
  <c r="S382" i="5"/>
  <c r="X525" i="5"/>
  <c r="X537" i="5"/>
  <c r="X431" i="5"/>
  <c r="X305" i="5"/>
  <c r="X297" i="5"/>
  <c r="X207" i="5"/>
  <c r="X395" i="5"/>
  <c r="X533" i="5"/>
  <c r="S533" i="5"/>
  <c r="X485" i="5"/>
  <c r="X513" i="5"/>
  <c r="X609" i="5"/>
  <c r="X561" i="5"/>
  <c r="X545" i="5"/>
  <c r="X575" i="5"/>
  <c r="S355" i="5"/>
  <c r="S602" i="5"/>
  <c r="X573" i="5"/>
  <c r="X587" i="5"/>
  <c r="X497" i="5"/>
  <c r="X549" i="5"/>
  <c r="X603" i="5"/>
  <c r="S603" i="5"/>
  <c r="X477" i="5"/>
  <c r="X605" i="5"/>
  <c r="S605" i="5"/>
  <c r="X279" i="5"/>
  <c r="X443" i="5"/>
  <c r="X189" i="5"/>
  <c r="X581" i="5"/>
  <c r="S607" i="5"/>
  <c r="X489" i="5"/>
  <c r="X579" i="5"/>
  <c r="X557" i="5"/>
  <c r="X501" i="5"/>
  <c r="X473" i="5"/>
  <c r="X509" i="5"/>
  <c r="X303" i="5"/>
  <c r="X435" i="5"/>
  <c r="X215" i="5"/>
  <c r="X201" i="5"/>
  <c r="X87" i="5"/>
  <c r="S314" i="5"/>
  <c r="X593" i="5"/>
  <c r="X585" i="5"/>
  <c r="X419" i="5"/>
  <c r="X261" i="5"/>
  <c r="X293" i="5"/>
  <c r="X239" i="5"/>
  <c r="X71" i="5"/>
  <c r="AB12" i="5"/>
  <c r="AB9" i="5"/>
  <c r="AB10" i="5"/>
  <c r="AB14" i="5"/>
  <c r="AB17" i="5"/>
  <c r="AB16" i="5"/>
  <c r="AB8" i="5"/>
  <c r="G66" i="6" s="1"/>
  <c r="AB13" i="5"/>
  <c r="AB15" i="5"/>
  <c r="AB11" i="5"/>
  <c r="AB7"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0" i="5"/>
  <c r="R13" i="5"/>
  <c r="R7" i="5"/>
  <c r="R17" i="5"/>
  <c r="R12" i="5"/>
  <c r="R9" i="5"/>
  <c r="R8" i="5"/>
  <c r="R15" i="5"/>
  <c r="R11" i="5"/>
  <c r="R14" i="5"/>
  <c r="X13" i="5"/>
  <c r="X9" i="5"/>
  <c r="X17" i="5"/>
  <c r="X11" i="5"/>
  <c r="X15" i="5"/>
  <c r="S17" i="5"/>
  <c r="S12" i="5"/>
  <c r="S16" i="5"/>
  <c r="S15" i="5"/>
  <c r="S13" i="5"/>
  <c r="S14" i="5"/>
  <c r="S10" i="5"/>
  <c r="S11" i="5"/>
  <c r="S8" i="5"/>
  <c r="S9" i="5"/>
  <c r="S7" i="5"/>
  <c r="G64" i="6" a="1"/>
  <c r="J18" i="5" l="1"/>
  <c r="G18" i="5"/>
  <c r="I18" i="5"/>
  <c r="R18" i="5"/>
  <c r="H18" i="5"/>
  <c r="E18" i="5"/>
  <c r="X18" i="5" s="1"/>
  <c r="F18" i="5"/>
  <c r="H66" i="6"/>
  <c r="D66" i="6" s="1"/>
  <c r="G65" i="6"/>
  <c r="H65" i="6" s="1"/>
  <c r="G67" i="6"/>
  <c r="C2" i="6"/>
  <c r="B2" i="6"/>
  <c r="B58" i="4"/>
  <c r="A41" i="6" s="1"/>
  <c r="B52" i="4"/>
  <c r="A36" i="6" s="1"/>
  <c r="H30" i="6"/>
  <c r="D30" i="6" s="1"/>
  <c r="B59" i="4"/>
  <c r="A42" i="6" s="1"/>
  <c r="F27" i="6"/>
  <c r="B37" i="6"/>
  <c r="G37" i="6" s="1"/>
  <c r="B52" i="6"/>
  <c r="G52" i="6" s="1"/>
  <c r="G22" i="6"/>
  <c r="H22" i="6" s="1"/>
  <c r="B64" i="4"/>
  <c r="A46" i="6" s="1"/>
  <c r="B70" i="4"/>
  <c r="A51" i="6" s="1"/>
  <c r="B35" i="4"/>
  <c r="A22" i="6" s="1"/>
  <c r="D67" i="4"/>
  <c r="E4" i="5"/>
  <c r="D4" i="5"/>
  <c r="C4" i="5"/>
  <c r="F69" i="6" s="1"/>
  <c r="D55" i="4"/>
  <c r="D31" i="4"/>
  <c r="D49" i="4"/>
  <c r="C22" i="6"/>
  <c r="D43" i="4"/>
  <c r="D61" i="4"/>
  <c r="D74" i="4"/>
  <c r="G43" i="4"/>
  <c r="C16" i="6"/>
  <c r="D16" i="6"/>
  <c r="K67" i="6"/>
  <c r="C31" i="6"/>
  <c r="F51" i="6"/>
  <c r="H51" i="6" s="1"/>
  <c r="F36" i="6"/>
  <c r="H36" i="6" s="1"/>
  <c r="D36" i="6" s="1"/>
  <c r="C26" i="6"/>
  <c r="F41" i="6"/>
  <c r="H41" i="6" s="1"/>
  <c r="D41" i="6" s="1"/>
  <c r="F46" i="6"/>
  <c r="H46" i="6" s="1"/>
  <c r="D46" i="6" s="1"/>
  <c r="C36" i="6"/>
  <c r="C41" i="6"/>
  <c r="F67" i="6"/>
  <c r="C21" i="6"/>
  <c r="B37" i="4"/>
  <c r="A23" i="6" s="1"/>
  <c r="B43" i="4"/>
  <c r="A28" i="6" s="1"/>
  <c r="B49" i="4"/>
  <c r="A33" i="6" s="1"/>
  <c r="B61" i="4"/>
  <c r="A43" i="6" s="1"/>
  <c r="D15" i="6"/>
  <c r="K66" i="6"/>
  <c r="C20" i="6"/>
  <c r="B33" i="4"/>
  <c r="A20" i="6" s="1"/>
  <c r="C45" i="6"/>
  <c r="C35" i="6"/>
  <c r="G49" i="4"/>
  <c r="C50" i="6"/>
  <c r="C25" i="6"/>
  <c r="C11" i="6"/>
  <c r="C15" i="6"/>
  <c r="C66" i="6"/>
  <c r="C40" i="6"/>
  <c r="C30" i="6"/>
  <c r="D14" i="6"/>
  <c r="K65" i="6"/>
  <c r="C49" i="6"/>
  <c r="D49" i="6"/>
  <c r="F39" i="6"/>
  <c r="H39" i="6" s="1"/>
  <c r="B89" i="4"/>
  <c r="A63" i="6" s="1"/>
  <c r="B63" i="4"/>
  <c r="A45" i="6" s="1"/>
  <c r="C10" i="6"/>
  <c r="B69" i="4"/>
  <c r="A50" i="6" s="1"/>
  <c r="C34" i="6"/>
  <c r="B75" i="4"/>
  <c r="A54" i="6" s="1"/>
  <c r="B87" i="4"/>
  <c r="A62" i="6" s="1"/>
  <c r="B31" i="4"/>
  <c r="A18" i="6" s="1"/>
  <c r="B51" i="4"/>
  <c r="A35" i="6" s="1"/>
  <c r="B79" i="4"/>
  <c r="A57" i="6" s="1"/>
  <c r="B77" i="4"/>
  <c r="A55" i="6" s="1"/>
  <c r="B67" i="4"/>
  <c r="A48" i="6" s="1"/>
  <c r="C44" i="6"/>
  <c r="B57" i="4"/>
  <c r="A40" i="6" s="1"/>
  <c r="B81" i="4"/>
  <c r="A58" i="6" s="1"/>
  <c r="H24" i="6"/>
  <c r="D24" i="6" s="1"/>
  <c r="G37" i="4"/>
  <c r="B85" i="4"/>
  <c r="A60" i="6" s="1"/>
  <c r="C14" i="6"/>
  <c r="B83" i="4"/>
  <c r="A59" i="6" s="1"/>
  <c r="B55" i="4"/>
  <c r="A38" i="6" s="1"/>
  <c r="C29" i="6"/>
  <c r="C19" i="6"/>
  <c r="C12" i="6"/>
  <c r="G31" i="4"/>
  <c r="C9" i="6"/>
  <c r="C8" i="6"/>
  <c r="B32" i="4"/>
  <c r="A19" i="6" s="1"/>
  <c r="C7" i="6"/>
  <c r="G67" i="4"/>
  <c r="A16" i="6"/>
  <c r="H6" i="6"/>
  <c r="D6" i="6" s="1"/>
  <c r="C5" i="6"/>
  <c r="C6" i="6"/>
  <c r="G61" i="4"/>
  <c r="B68" i="4"/>
  <c r="A49" i="6" s="1"/>
  <c r="C4" i="6"/>
  <c r="G64" i="6"/>
  <c r="B65" i="4"/>
  <c r="A47" i="6" s="1"/>
  <c r="B71" i="4"/>
  <c r="A52" i="6" s="1"/>
  <c r="B50" i="4"/>
  <c r="A34" i="6" s="1"/>
  <c r="B56" i="4"/>
  <c r="A39" i="6" s="1"/>
  <c r="A24" i="6"/>
  <c r="G55" i="4"/>
  <c r="D65" i="6" l="1"/>
  <c r="C65" i="6"/>
  <c r="H67" i="6"/>
  <c r="G69" i="6" a="1"/>
  <c r="G69" i="6" s="1"/>
  <c r="H69" i="6" s="1"/>
  <c r="K68" i="6"/>
  <c r="D22" i="6"/>
  <c r="F32" i="6"/>
  <c r="H32" i="6" s="1"/>
  <c r="F52" i="6"/>
  <c r="H52" i="6" s="1"/>
  <c r="F47" i="6"/>
  <c r="H47" i="6" s="1"/>
  <c r="F37" i="6"/>
  <c r="H37" i="6" s="1"/>
  <c r="F42" i="6"/>
  <c r="H42" i="6" s="1"/>
  <c r="F68" i="6"/>
  <c r="H68" i="6" s="1"/>
  <c r="F54" i="6"/>
  <c r="H27" i="6"/>
  <c r="C46" i="6"/>
  <c r="D51" i="6"/>
  <c r="C51" i="6"/>
  <c r="C24" i="6"/>
  <c r="C39" i="6"/>
  <c r="D39" i="6"/>
  <c r="C69" i="6"/>
  <c r="H64" i="6"/>
  <c r="B64" i="6"/>
  <c r="D67" i="6" l="1"/>
  <c r="C67" i="6"/>
  <c r="D52" i="6"/>
  <c r="C52" i="6"/>
  <c r="D42" i="6"/>
  <c r="C42" i="6"/>
  <c r="F57" i="6"/>
  <c r="H57" i="6" s="1"/>
  <c r="F63" i="6"/>
  <c r="H63" i="6" s="1"/>
  <c r="F58" i="6"/>
  <c r="H58" i="6" s="1"/>
  <c r="F62" i="6"/>
  <c r="H62" i="6" s="1"/>
  <c r="F60" i="6"/>
  <c r="H60" i="6" s="1"/>
  <c r="H54" i="6"/>
  <c r="F55" i="6"/>
  <c r="F59" i="6"/>
  <c r="H59" i="6" s="1"/>
  <c r="D37" i="6"/>
  <c r="C37" i="6"/>
  <c r="D47" i="6"/>
  <c r="C47" i="6"/>
  <c r="D32" i="6"/>
  <c r="C32" i="6"/>
  <c r="D27" i="6"/>
  <c r="C27" i="6"/>
  <c r="D68" i="6"/>
  <c r="C68" i="6"/>
  <c r="D64" i="6"/>
  <c r="C64" i="6"/>
  <c r="D59" i="6" l="1"/>
  <c r="C59" i="6"/>
  <c r="F56" i="6"/>
  <c r="H56" i="6" s="1"/>
  <c r="H55" i="6"/>
  <c r="D54" i="6"/>
  <c r="C54" i="6"/>
  <c r="D60" i="6"/>
  <c r="C60" i="6"/>
  <c r="D62" i="6"/>
  <c r="C62" i="6"/>
  <c r="D58" i="6"/>
  <c r="C58" i="6"/>
  <c r="D63" i="6"/>
  <c r="C63" i="6"/>
  <c r="D57" i="6"/>
  <c r="C57"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<sst xmlns="http://schemas.openxmlformats.org/spreadsheetml/2006/main" count="22449" uniqueCount="15837">
  <si>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</si>
  <si>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</si>
  <si>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</si>
  <si>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</si>
  <si>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</si>
  <si>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</si>
  <si>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</si>
  <si>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</si>
  <si>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</si>
  <si>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</si>
  <si>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</si>
  <si>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</si>
  <si>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</si>
  <si>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</si>
  <si>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</si>
  <si>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</si>
  <si>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</si>
  <si>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</si>
  <si>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</si>
  <si>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</si>
  <si>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</si>
  <si>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</si>
  <si>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</si>
  <si>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</si>
  <si>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</si>
  <si>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</si>
  <si>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</si>
  <si>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</si>
  <si>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</si>
  <si>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</si>
  <si>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</si>
  <si>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</si>
  <si>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</si>
  <si>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</si>
  <si>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</si>
  <si>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</si>
  <si>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</si>
  <si>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</si>
  <si>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</si>
  <si>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</si>
  <si>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</si>
  <si>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</si>
  <si>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</si>
  <si>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</si>
  <si>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</si>
  <si>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</si>
  <si>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</si>
  <si>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</si>
  <si>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</si>
  <si>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</si>
  <si>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</si>
  <si>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</si>
  <si>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</si>
  <si>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</si>
  <si>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</si>
  <si>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</si>
  <si>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</si>
  <si>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</si>
  <si>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</si>
  <si>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</si>
  <si>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</si>
  <si>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</si>
  <si>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</si>
  <si>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</si>
  <si>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</si>
  <si>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</si>
  <si>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</si>
  <si>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</si>
  <si>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</si>
  <si>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</si>
  <si>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</si>
  <si>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</si>
  <si>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</si>
  <si>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</si>
  <si>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</si>
  <si>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</si>
  <si>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</si>
  <si>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</si>
  <si>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</si>
  <si>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</si>
  <si>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</si>
  <si>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</si>
  <si>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</si>
  <si>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</si>
  <si>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</si>
  <si>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</si>
  <si>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</si>
  <si>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</si>
  <si>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</si>
  <si>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</si>
  <si>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</si>
  <si>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</si>
  <si>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</si>
  <si>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</si>
  <si>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</si>
  <si>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</si>
  <si>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</si>
  <si>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</si>
  <si>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</si>
  <si>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</si>
  <si>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</si>
  <si>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</si>
  <si>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</si>
  <si>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</si>
  <si>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</si>
  <si>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</si>
  <si>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</si>
  <si>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</si>
  <si>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</si>
  <si>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</si>
  <si>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</si>
  <si>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</si>
  <si>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</si>
  <si>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</si>
  <si>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</si>
  <si>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</si>
  <si>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</si>
  <si>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</si>
  <si>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</si>
  <si>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</si>
  <si>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</si>
  <si>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</si>
  <si>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</si>
  <si>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</si>
  <si>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</si>
  <si>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</si>
  <si>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</si>
  <si>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</si>
  <si>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</si>
  <si>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</si>
  <si>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</si>
  <si>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</si>
  <si>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</si>
  <si>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</si>
  <si>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</si>
  <si>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</si>
  <si>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</si>
  <si>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</si>
  <si>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</si>
  <si>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</si>
  <si>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</si>
  <si>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</si>
  <si>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</si>
  <si>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</si>
  <si>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</si>
  <si>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</si>
  <si>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</si>
  <si>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</si>
  <si>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</si>
  <si>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</si>
  <si>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</si>
  <si>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</si>
  <si>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</si>
  <si>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</si>
  <si>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</si>
  <si>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</si>
  <si>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</si>
  <si>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</si>
  <si>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</si>
  <si>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</si>
  <si>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</si>
  <si>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</si>
  <si>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</si>
  <si>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</si>
  <si>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</si>
  <si>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</si>
  <si>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</si>
  <si>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</si>
  <si>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</si>
  <si>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</si>
  <si>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</si>
  <si>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</si>
  <si>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</si>
  <si>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</si>
  <si>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</si>
  <si>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</si>
  <si>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</si>
  <si>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</si>
  <si>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</si>
  <si>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</si>
  <si>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</si>
  <si>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</si>
  <si>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</si>
  <si>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</si>
  <si>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</si>
  <si>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</si>
  <si>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</si>
  <si>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</si>
  <si>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</si>
  <si>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</si>
  <si>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</si>
  <si>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</si>
  <si>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</si>
  <si>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</si>
  <si>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</si>
  <si>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</si>
  <si>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</si>
  <si>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</si>
  <si>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</si>
  <si>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</si>
  <si>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</si>
  <si>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</si>
  <si>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</si>
  <si>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</si>
  <si>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</si>
  <si>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</si>
  <si>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</si>
  <si>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</si>
  <si>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</si>
  <si>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</si>
  <si>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</si>
  <si>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</si>
  <si>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</si>
  <si>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</si>
  <si>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</si>
  <si>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</si>
  <si>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</si>
  <si>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</si>
  <si>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</si>
  <si>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</si>
  <si>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</si>
  <si>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</si>
  <si>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</si>
  <si>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</si>
  <si>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</si>
  <si>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</si>
  <si>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</si>
  <si>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</si>
  <si>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</si>
  <si>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</si>
  <si>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</si>
  <si>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</si>
  <si>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</si>
  <si>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</si>
  <si>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</si>
  <si>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</si>
  <si>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</si>
  <si>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</si>
  <si>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</si>
  <si>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</si>
  <si>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</si>
  <si>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</si>
  <si>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</si>
  <si>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</si>
  <si>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</si>
  <si>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</si>
  <si>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</si>
  <si>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</si>
  <si>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</si>
  <si>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</si>
  <si>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</si>
  <si>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</si>
  <si>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</si>
  <si>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</si>
  <si>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</si>
  <si>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</si>
  <si>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</si>
  <si>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</si>
  <si>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</si>
  <si>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</si>
  <si>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</si>
  <si>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</si>
  <si>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</si>
  <si>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</si>
  <si>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</si>
  <si>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</si>
  <si>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</si>
  <si>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</si>
  <si>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</si>
  <si>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</si>
  <si>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</si>
  <si>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</si>
  <si>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</si>
  <si>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</si>
  <si>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</si>
  <si>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</si>
  <si>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</si>
  <si>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</si>
  <si>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</si>
  <si>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</si>
  <si>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</si>
  <si>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</si>
  <si>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</si>
  <si>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</si>
  <si>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</si>
  <si>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</si>
  <si>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</si>
  <si>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</si>
  <si>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</si>
  <si>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</si>
  <si>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</si>
  <si>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</si>
  <si>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</si>
  <si>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</si>
  <si>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</si>
  <si>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</si>
  <si>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</si>
  <si>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</si>
  <si>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</si>
  <si>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</si>
  <si>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</si>
  <si>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</si>
  <si>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</si>
  <si>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</si>
  <si>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</si>
  <si>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</si>
  <si>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</si>
  <si>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</si>
  <si>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</si>
  <si>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</si>
  <si>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</si>
  <si>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</si>
  <si>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</si>
  <si>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</si>
  <si>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</si>
  <si>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</si>
  <si>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</si>
  <si>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</si>
  <si>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</si>
  <si>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</si>
  <si>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</si>
  <si>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</si>
  <si>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</si>
  <si>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</si>
  <si>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</si>
  <si>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</si>
  <si>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</si>
  <si>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</si>
  <si>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</si>
  <si>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</si>
  <si>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</si>
  <si>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</si>
  <si>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</si>
  <si>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</si>
  <si>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</si>
  <si>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</si>
  <si>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</si>
  <si>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</si>
  <si>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</si>
  <si>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</si>
  <si>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</si>
  <si>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</si>
  <si>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</si>
  <si>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</si>
  <si>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</si>
  <si>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</si>
  <si>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</si>
  <si>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</si>
  <si>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</si>
  <si>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</si>
  <si>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</si>
  <si>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</si>
  <si>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</si>
  <si>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</si>
  <si>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</si>
  <si>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</si>
  <si>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</si>
  <si>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</si>
  <si>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</si>
  <si>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</si>
  <si>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</si>
  <si>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</si>
  <si>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</si>
  <si>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</si>
  <si>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</si>
  <si>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</si>
  <si>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</si>
  <si>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</si>
  <si>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</si>
  <si>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</si>
  <si>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</si>
  <si>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</si>
  <si>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</si>
  <si>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</si>
  <si>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</si>
  <si>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</si>
  <si>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</si>
  <si>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</si>
  <si>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</si>
  <si>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</si>
  <si>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</si>
  <si>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</si>
  <si>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</si>
  <si>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</si>
  <si>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</si>
  <si>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</si>
  <si>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</si>
  <si>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</si>
  <si>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</si>
  <si>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</si>
  <si>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</si>
  <si>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</si>
  <si>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</si>
  <si>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</si>
  <si>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</si>
  <si>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</si>
  <si>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</si>
  <si>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</si>
  <si>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</si>
  <si>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</si>
  <si>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</si>
  <si>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</si>
  <si>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</si>
  <si>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</si>
  <si>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</si>
  <si>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</si>
  <si>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</si>
  <si>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</si>
  <si>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</si>
  <si>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</si>
  <si>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</si>
  <si>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</si>
  <si>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</si>
  <si>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</si>
  <si>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</si>
  <si>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</si>
  <si>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</si>
  <si>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</si>
  <si>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</si>
  <si>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</si>
  <si>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</si>
  <si>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</si>
  <si>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</si>
  <si>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</si>
  <si>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</si>
  <si>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</si>
  <si>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</si>
  <si>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</si>
  <si>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</si>
  <si>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</si>
  <si>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</si>
  <si>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</si>
  <si>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</si>
  <si>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</si>
  <si>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</si>
  <si>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</si>
  <si>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</si>
  <si>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</si>
  <si>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</si>
  <si>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</si>
  <si>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</si>
  <si>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</si>
  <si>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</si>
  <si>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</si>
  <si>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</si>
  <si>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</si>
  <si>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</si>
  <si>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</si>
  <si>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</si>
  <si>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</si>
  <si>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</si>
  <si>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</si>
  <si>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</si>
  <si>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</si>
  <si>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</si>
  <si>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</si>
  <si>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</si>
  <si>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</si>
  <si>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</si>
  <si>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</si>
  <si>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</si>
  <si>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</si>
  <si>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</si>
  <si>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</si>
  <si>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</si>
  <si>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</si>
  <si>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</si>
  <si>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</si>
  <si>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</si>
  <si>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</si>
  <si>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</si>
  <si>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</si>
  <si>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</si>
  <si>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</si>
  <si>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</si>
  <si>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</si>
  <si>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</si>
  <si>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</si>
  <si>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</si>
  <si>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</si>
  <si>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</si>
  <si>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</si>
  <si>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</si>
  <si>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</si>
  <si>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</si>
  <si>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</si>
  <si>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</si>
  <si>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</si>
  <si>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</si>
  <si>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</si>
  <si>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</si>
  <si>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</si>
  <si>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</si>
  <si>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</si>
  <si>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</si>
  <si>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</si>
  <si>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</si>
  <si>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</si>
  <si>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</si>
  <si>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</si>
  <si>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</si>
  <si>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</si>
  <si>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</si>
  <si>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</si>
  <si>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</si>
  <si>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</si>
  <si>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</si>
  <si>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</si>
  <si>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</si>
  <si>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</si>
  <si>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</si>
  <si>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</si>
  <si>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</si>
  <si>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</si>
  <si>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</si>
  <si>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</si>
  <si>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</si>
  <si>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</si>
  <si>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</si>
  <si>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</si>
  <si>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</si>
  <si>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</si>
  <si>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</si>
  <si>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</si>
  <si>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</si>
  <si>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</si>
  <si>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</si>
  <si>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</si>
  <si>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</si>
  <si>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</si>
  <si>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</si>
  <si>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</si>
  <si>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</si>
  <si>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</si>
  <si>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</si>
  <si>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</si>
  <si>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</si>
  <si>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</si>
  <si>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</si>
  <si>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</si>
  <si>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</si>
  <si>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</si>
  <si>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</si>
  <si>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</si>
  <si>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</si>
  <si>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</si>
  <si>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</si>
  <si>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</si>
  <si>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</si>
  <si>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</si>
  <si>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</si>
  <si>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</si>
  <si>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</si>
  <si>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</si>
  <si>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</si>
  <si>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</si>
  <si>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</si>
  <si>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</si>
  <si>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</si>
  <si>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</si>
  <si>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</si>
  <si>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</si>
  <si>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</si>
  <si>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</si>
  <si>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</si>
  <si>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</si>
  <si>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</si>
  <si>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</si>
  <si>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</si>
  <si>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</si>
  <si>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</si>
  <si>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</si>
  <si>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</si>
  <si>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</si>
  <si>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</si>
  <si>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</si>
  <si>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</si>
  <si>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</si>
  <si>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</si>
  <si>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</si>
  <si>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</si>
  <si>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</si>
  <si>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</si>
  <si>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</si>
  <si>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</si>
  <si>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</si>
  <si>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</si>
  <si>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</si>
  <si>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</si>
  <si>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</si>
  <si>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</si>
  <si>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</si>
  <si>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</si>
  <si>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</si>
  <si>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</si>
  <si>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</si>
  <si>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</si>
  <si>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</si>
  <si>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</si>
  <si>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</si>
  <si>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</si>
  <si>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</si>
  <si>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</si>
  <si>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</si>
  <si>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</si>
  <si>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</si>
  <si>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</si>
  <si>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</si>
  <si>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</si>
  <si>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</si>
  <si>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</si>
  <si>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</si>
  <si>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</si>
  <si>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</si>
  <si>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</si>
  <si>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</si>
  <si>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</si>
  <si>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</si>
  <si>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</si>
  <si>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</si>
  <si>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</si>
  <si>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</si>
  <si>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</si>
  <si>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</si>
  <si>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</si>
  <si>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</si>
  <si>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</si>
  <si>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</si>
  <si>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</si>
  <si>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</si>
  <si>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</si>
  <si>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</si>
  <si>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</si>
  <si>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</si>
  <si>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</si>
  <si>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</si>
  <si>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</si>
  <si>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</si>
  <si>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</si>
  <si>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</si>
  <si>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</si>
  <si>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</si>
  <si>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</si>
  <si>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</si>
  <si>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</si>
  <si>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</si>
  <si>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</si>
  <si>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</si>
  <si>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</si>
  <si>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</si>
  <si>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</si>
  <si>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</si>
  <si>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</si>
  <si>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</si>
  <si>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</si>
  <si>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</si>
  <si>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</si>
  <si>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</si>
  <si>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</si>
  <si>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</si>
  <si>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</si>
  <si>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</si>
  <si>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</si>
  <si>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</si>
  <si>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</si>
  <si>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</si>
  <si>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</si>
  <si>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</si>
  <si>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</si>
  <si>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</si>
  <si>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</si>
  <si>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</si>
  <si>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</si>
  <si>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</si>
  <si>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</si>
  <si>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</si>
  <si>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</si>
  <si>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</si>
  <si>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</si>
  <si>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</si>
  <si>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</si>
  <si>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</si>
  <si>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</si>
  <si>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</si>
  <si>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</si>
  <si>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</si>
  <si>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</si>
  <si>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</si>
  <si>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</si>
  <si>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</si>
  <si>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</si>
  <si>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</si>
  <si>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</si>
  <si>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</si>
  <si>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</si>
  <si>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</si>
  <si>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</si>
  <si>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</si>
  <si>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</si>
  <si>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</si>
  <si>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</si>
  <si>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</si>
  <si>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</si>
  <si>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</si>
  <si>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</si>
  <si>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</si>
  <si>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</si>
  <si>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</si>
  <si>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</si>
  <si>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</si>
  <si>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</si>
  <si>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</si>
  <si>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</si>
  <si>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</si>
  <si>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</si>
  <si>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</si>
  <si>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</si>
  <si>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</si>
  <si>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</si>
  <si>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</si>
  <si>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</si>
  <si>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</si>
  <si>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</si>
  <si>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</si>
  <si>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</si>
  <si>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</si>
  <si>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</si>
  <si>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</si>
  <si>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</si>
  <si>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</si>
  <si>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</si>
  <si>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</si>
  <si>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</si>
  <si>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</si>
  <si>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</si>
  <si>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</si>
  <si>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</si>
  <si>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</si>
  <si>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</si>
  <si>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</si>
  <si>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</si>
  <si>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</si>
  <si>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</si>
  <si>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</si>
  <si>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</si>
  <si>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</si>
  <si>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</si>
  <si>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</si>
  <si>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</si>
  <si>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</si>
  <si>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</si>
  <si>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</si>
  <si>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</si>
  <si>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</si>
  <si>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</si>
  <si>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</si>
  <si>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</si>
  <si>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</si>
  <si>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</si>
  <si>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</si>
  <si>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</si>
  <si>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</si>
  <si>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</si>
  <si>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</si>
  <si>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</si>
  <si>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</si>
  <si>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</si>
  <si>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</si>
  <si>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</si>
  <si>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</si>
  <si>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</si>
  <si>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</si>
  <si>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</si>
  <si>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</si>
  <si>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</si>
  <si>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</si>
  <si>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</si>
  <si>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</si>
  <si>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</si>
  <si>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</si>
  <si>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</si>
  <si>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</si>
  <si>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</si>
  <si>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</si>
  <si>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</si>
  <si>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</si>
  <si>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</si>
  <si>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</si>
  <si>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</si>
  <si>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</si>
  <si>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</si>
  <si>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</si>
  <si>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</si>
  <si>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</si>
  <si>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</si>
  <si>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</si>
  <si>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</si>
  <si>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</si>
  <si>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</si>
  <si>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</si>
  <si>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</si>
  <si>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</si>
  <si>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</si>
  <si>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</si>
  <si>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</si>
  <si>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</si>
  <si>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</si>
  <si>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</si>
  <si>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</si>
  <si>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</si>
  <si>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</si>
  <si>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</si>
  <si>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</si>
  <si>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</si>
  <si>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</si>
  <si>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</si>
  <si>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</si>
  <si>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</si>
  <si>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</si>
  <si>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</si>
  <si>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</si>
  <si>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</si>
  <si>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</si>
  <si>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</si>
  <si>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</si>
  <si>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</si>
  <si>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</si>
  <si>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</si>
  <si>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</si>
  <si>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</si>
  <si>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</si>
  <si>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</si>
  <si>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</si>
  <si>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</si>
  <si>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</si>
  <si>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</si>
  <si>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</si>
  <si>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</si>
  <si>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</si>
  <si>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</si>
  <si>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</si>
  <si>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</si>
  <si>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</si>
  <si>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</si>
  <si>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</si>
  <si>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</si>
  <si>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</si>
  <si>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</si>
  <si>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</si>
  <si>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</si>
  <si>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</si>
  <si>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</si>
  <si>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</si>
  <si>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</si>
  <si>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</si>
  <si>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</si>
  <si>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</si>
  <si>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</si>
  <si>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</si>
  <si>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</si>
  <si>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</si>
  <si>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</si>
  <si>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</si>
  <si>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</si>
  <si>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</si>
  <si>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</si>
  <si>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</si>
  <si>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</si>
  <si>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</si>
  <si>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</si>
  <si>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</si>
  <si>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</si>
  <si>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</si>
  <si>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</si>
  <si>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</si>
  <si>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</si>
  <si>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</si>
  <si>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</si>
  <si>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</si>
  <si>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</si>
  <si>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</si>
  <si>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</si>
  <si>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</si>
  <si>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</si>
  <si>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</si>
  <si>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</si>
  <si>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</si>
  <si>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</si>
  <si>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</si>
  <si>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</si>
  <si>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</si>
  <si>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</si>
  <si>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</si>
  <si>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</si>
  <si>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</si>
  <si>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</si>
  <si>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</si>
  <si>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</si>
  <si>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</si>
  <si>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</si>
  <si>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</si>
  <si>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</si>
  <si>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</si>
  <si>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</si>
  <si>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</si>
  <si>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</si>
  <si>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</si>
  <si>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</si>
  <si>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</si>
  <si>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</si>
  <si>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</si>
  <si>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</si>
  <si>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</si>
  <si>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</si>
  <si>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</si>
  <si>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</si>
  <si>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</si>
  <si>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</si>
  <si>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</si>
  <si>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</si>
  <si>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</si>
  <si>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</si>
  <si>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</si>
  <si>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</si>
  <si>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</si>
  <si>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</si>
  <si>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</si>
  <si>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</si>
  <si>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</si>
  <si>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</si>
  <si>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</si>
  <si>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</si>
  <si>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</si>
  <si>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</si>
  <si>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</si>
  <si>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</si>
  <si>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</si>
  <si>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</si>
  <si>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</si>
  <si>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</si>
  <si>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</si>
  <si>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</si>
  <si>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</si>
  <si>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</si>
  <si>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</si>
  <si>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</si>
  <si>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</si>
  <si>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</si>
  <si>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</si>
  <si>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</si>
  <si>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</si>
  <si>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</si>
  <si>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</si>
  <si>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</si>
  <si>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</si>
  <si>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</si>
  <si>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</si>
  <si>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</si>
  <si>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</si>
  <si>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</si>
  <si>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</si>
  <si>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</si>
  <si>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</si>
  <si>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</si>
  <si>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</si>
  <si>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</si>
  <si>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</si>
  <si>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</si>
  <si>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</si>
  <si>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</si>
  <si>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</si>
  <si>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</si>
  <si>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</si>
  <si>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</si>
  <si>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</si>
  <si>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</si>
  <si>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</si>
  <si>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</si>
  <si>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</si>
  <si>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</si>
  <si>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</si>
  <si>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</si>
  <si>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</si>
  <si>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</si>
  <si>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</si>
  <si>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</si>
  <si>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</si>
  <si>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</si>
  <si>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</si>
  <si>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</si>
  <si>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</si>
  <si>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</si>
  <si>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</si>
  <si>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</si>
  <si>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</si>
  <si>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</si>
  <si>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</si>
  <si>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</si>
  <si>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</si>
  <si>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</si>
  <si>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</si>
  <si>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</si>
  <si>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</si>
  <si>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</si>
  <si>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</si>
  <si>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</si>
  <si>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</si>
  <si>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</si>
  <si>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</si>
  <si>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</si>
  <si>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</si>
  <si>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</si>
  <si>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</si>
  <si>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</si>
  <si>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</si>
  <si>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</si>
  <si>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</si>
  <si>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</si>
  <si>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</si>
  <si>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</si>
  <si>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</si>
  <si>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</si>
  <si>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</si>
  <si>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</si>
  <si>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</si>
  <si>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</si>
  <si>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</si>
  <si>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</si>
  <si>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</si>
  <si>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</si>
  <si>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</si>
  <si>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</si>
  <si>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</si>
  <si>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</si>
  <si>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</si>
  <si>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</si>
  <si>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</si>
  <si>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</si>
  <si>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</si>
  <si>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</si>
  <si>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</si>
  <si>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</si>
  <si>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</si>
  <si>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</si>
  <si>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</si>
  <si>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</si>
  <si>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</si>
  <si>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</si>
  <si>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</si>
  <si>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</si>
  <si>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</si>
  <si>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</si>
  <si>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</si>
  <si>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</si>
  <si>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</si>
  <si>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</si>
  <si>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</si>
  <si>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</si>
  <si>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</si>
  <si>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</si>
  <si>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</si>
  <si>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</si>
  <si>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</si>
  <si>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</si>
  <si>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</si>
  <si>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</si>
  <si>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</si>
  <si>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</si>
  <si>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</si>
  <si>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</si>
  <si>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</si>
  <si>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</si>
  <si>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</si>
  <si>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</si>
  <si>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</si>
  <si>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</si>
  <si>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</si>
  <si>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</si>
  <si>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</si>
  <si>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</si>
  <si>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</si>
  <si>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</si>
  <si>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</si>
  <si>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</si>
  <si>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</si>
  <si>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</si>
  <si>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</si>
  <si>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</si>
  <si>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</si>
  <si>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</si>
  <si>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</si>
  <si>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</si>
  <si>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</si>
  <si>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</si>
  <si>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</si>
  <si>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</si>
  <si>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</si>
  <si>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</si>
  <si>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</si>
  <si>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</si>
  <si>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</si>
  <si>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</si>
  <si>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</si>
  <si>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</si>
  <si>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</si>
  <si>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</si>
  <si>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</si>
  <si>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</si>
  <si>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</si>
  <si>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</si>
  <si>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</si>
  <si>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</si>
  <si>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</si>
  <si>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</si>
  <si>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</si>
  <si>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</si>
  <si>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</si>
  <si>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</si>
  <si>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</si>
  <si>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</si>
  <si>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</si>
  <si>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</si>
  <si>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</si>
  <si>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</si>
  <si>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</si>
  <si>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</si>
  <si>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</si>
  <si>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</si>
  <si>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</si>
  <si>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</si>
  <si>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</si>
  <si>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</si>
  <si>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</si>
  <si>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</si>
  <si>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</si>
  <si>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</si>
  <si>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</si>
  <si>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</si>
  <si>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</si>
  <si>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</si>
  <si>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</si>
  <si>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</si>
  <si>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</si>
  <si>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</si>
  <si>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</si>
  <si>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</si>
  <si>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</si>
  <si>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</si>
  <si>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</si>
  <si>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</si>
  <si>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</si>
  <si>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</si>
  <si>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</si>
  <si>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</si>
  <si>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</si>
  <si>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</si>
  <si>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</si>
  <si>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</si>
  <si>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</si>
  <si>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</si>
  <si>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</si>
  <si>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</si>
  <si>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</si>
  <si>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</si>
  <si>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</si>
  <si>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</si>
  <si>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</si>
  <si>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</si>
  <si>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</si>
  <si>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</si>
  <si>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</si>
  <si>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</si>
  <si>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</si>
  <si>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</si>
  <si>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</si>
  <si>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</si>
  <si>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</si>
  <si>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</si>
  <si>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</si>
  <si>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</si>
  <si>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</si>
  <si>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</si>
  <si>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</si>
  <si>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</si>
  <si>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</si>
  <si>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</si>
  <si>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</si>
  <si>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</si>
  <si>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</si>
  <si>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</si>
  <si>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</si>
  <si>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</si>
  <si>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</si>
  <si>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</si>
  <si>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</si>
  <si>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</si>
  <si>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</si>
  <si>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</si>
  <si>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</si>
  <si>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</si>
  <si>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</si>
  <si>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</si>
  <si>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</si>
  <si>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</si>
  <si>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</si>
  <si>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</si>
  <si>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</si>
  <si>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</si>
  <si>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</si>
  <si>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</si>
  <si>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</si>
  <si>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</si>
  <si>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</si>
  <si>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</si>
  <si>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</si>
  <si>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</si>
  <si>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</si>
  <si>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</si>
  <si>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</si>
  <si>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</si>
  <si>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</si>
  <si>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</si>
  <si>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</si>
  <si>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</si>
  <si>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</si>
  <si>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</si>
  <si>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</si>
  <si>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</si>
  <si>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</si>
  <si>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</si>
  <si>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</si>
  <si>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</si>
  <si>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</si>
  <si>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</si>
  <si>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</si>
  <si>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</si>
  <si>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</si>
  <si>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</si>
  <si>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</si>
  <si>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</si>
  <si>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</si>
  <si>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</si>
  <si>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</si>
  <si>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</si>
  <si>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</si>
  <si>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</si>
  <si>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</si>
  <si>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</si>
  <si>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</si>
  <si>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</si>
  <si>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</si>
  <si>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</si>
  <si>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</si>
  <si>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</si>
  <si>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</si>
  <si>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</si>
  <si>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</si>
  <si>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</si>
  <si>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</si>
  <si>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</si>
  <si>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</si>
  <si>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</si>
  <si>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</si>
  <si>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</si>
  <si>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</si>
  <si>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</si>
  <si>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</si>
  <si>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</si>
  <si>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</si>
  <si>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</si>
  <si>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</si>
  <si>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</si>
  <si>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</si>
  <si>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</si>
  <si>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</si>
  <si>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</si>
  <si>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</si>
  <si>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</si>
  <si>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</si>
  <si>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</si>
  <si>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</si>
  <si>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</si>
  <si>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</si>
  <si>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</si>
  <si>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</si>
  <si>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</si>
  <si>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</si>
  <si>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</si>
  <si>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</si>
  <si>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</si>
  <si>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</si>
  <si>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</si>
  <si>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</si>
  <si>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</si>
  <si>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</si>
  <si>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</si>
  <si>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</si>
  <si>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</si>
  <si>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</si>
  <si>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</si>
  <si>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</si>
  <si>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</si>
  <si>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</si>
  <si>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</si>
  <si>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</si>
  <si>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</si>
  <si>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</si>
  <si>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</si>
  <si>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</si>
  <si>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</si>
  <si>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</si>
  <si>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</si>
  <si>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</si>
  <si>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</si>
  <si>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</si>
  <si>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</si>
  <si>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</si>
  <si>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</si>
  <si>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</si>
  <si>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</si>
  <si>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</si>
  <si>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</si>
  <si>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</si>
  <si>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</si>
  <si>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</si>
  <si>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</si>
  <si>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</si>
  <si>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</si>
  <si>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</si>
  <si>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</si>
  <si>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</si>
  <si>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</si>
  <si>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</si>
  <si>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</si>
  <si>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</si>
  <si>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</si>
  <si>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</si>
  <si>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</si>
  <si>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</si>
  <si>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</si>
  <si>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</si>
  <si>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</si>
  <si>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</si>
  <si>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</si>
  <si>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</si>
  <si>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</si>
  <si>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</si>
  <si>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</si>
  <si>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</si>
  <si>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</si>
  <si>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</si>
  <si>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</si>
  <si>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</si>
  <si>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</si>
  <si>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</si>
  <si>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</si>
  <si>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</si>
  <si>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</si>
  <si>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</si>
  <si>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</si>
  <si>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</si>
  <si>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</si>
  <si>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</si>
  <si>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</si>
  <si>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</si>
  <si>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</si>
  <si>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</si>
  <si>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</si>
  <si>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</si>
  <si>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</si>
  <si>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</si>
  <si>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</si>
  <si>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</si>
  <si>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</si>
  <si>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</si>
  <si>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</si>
  <si>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</si>
  <si>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</si>
  <si>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</si>
  <si>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</si>
  <si>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</si>
  <si>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</si>
  <si>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</si>
  <si>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</si>
  <si>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</si>
  <si>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</si>
  <si>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</si>
  <si>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</si>
  <si>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</si>
  <si>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</si>
  <si>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</si>
  <si>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</si>
  <si>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</si>
  <si>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</si>
  <si>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</si>
  <si>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</si>
  <si>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</si>
  <si>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</si>
  <si>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</si>
  <si>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</si>
  <si>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</si>
  <si>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</si>
  <si>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</si>
  <si>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</si>
  <si>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</si>
  <si>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</si>
  <si>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</si>
  <si>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</si>
  <si>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</si>
  <si>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</si>
  <si>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</si>
  <si>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</si>
  <si>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</si>
  <si>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</si>
  <si>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</si>
  <si>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</si>
  <si>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</si>
  <si>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</si>
  <si>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</si>
  <si>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</si>
  <si>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</si>
  <si>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</si>
  <si>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</si>
  <si>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</si>
  <si>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</si>
  <si>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</si>
  <si>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</si>
  <si>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</si>
  <si>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</si>
  <si>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</si>
  <si>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</si>
  <si>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</si>
  <si>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</si>
  <si>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</si>
  <si>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</si>
  <si>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</si>
  <si>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</si>
  <si>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</si>
  <si>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</si>
  <si>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</si>
  <si>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</si>
  <si>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</si>
  <si>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</si>
  <si>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</si>
  <si>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</si>
  <si>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</si>
  <si>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</si>
  <si>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</si>
  <si>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</si>
  <si>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</si>
  <si>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</si>
  <si>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</si>
  <si>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</si>
  <si>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</si>
  <si>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</si>
  <si>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</si>
  <si>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</si>
  <si>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</si>
  <si>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</si>
  <si>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</si>
  <si>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</si>
  <si>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</si>
  <si>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</si>
  <si>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</si>
  <si>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</si>
  <si>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</si>
  <si>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</si>
  <si>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</si>
  <si>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</si>
  <si>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</si>
  <si>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</si>
  <si>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</si>
  <si>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</si>
  <si>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</si>
  <si>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</si>
  <si>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</si>
  <si>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</si>
  <si>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</si>
  <si>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</si>
  <si>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</si>
  <si>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</si>
  <si>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</si>
  <si>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</si>
  <si>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</si>
  <si>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</si>
  <si>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</si>
  <si>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</si>
  <si>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</si>
  <si>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</si>
  <si>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</si>
  <si>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</si>
  <si>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</si>
  <si>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</si>
  <si>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</si>
  <si>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</si>
  <si>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</si>
  <si>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</si>
  <si>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</si>
  <si>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</si>
  <si>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</si>
  <si>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</si>
  <si>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</si>
  <si>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</si>
  <si>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</si>
  <si>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</si>
  <si>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</si>
  <si>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</si>
  <si>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</si>
  <si>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</si>
  <si>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</si>
  <si>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</si>
  <si>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</si>
  <si>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</si>
  <si>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</si>
  <si>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</si>
  <si>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</si>
  <si>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</si>
  <si>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</si>
  <si>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</si>
  <si>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</si>
  <si>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</si>
  <si>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</si>
  <si>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</si>
  <si>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</si>
  <si>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</si>
  <si>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</si>
  <si>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</si>
  <si>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</si>
  <si>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</si>
  <si>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</si>
  <si>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</si>
  <si>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</si>
  <si>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</si>
  <si>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</si>
  <si>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</si>
  <si>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</si>
  <si>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</si>
  <si>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</si>
  <si>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</si>
  <si>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</si>
  <si>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</si>
  <si>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</si>
  <si>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</si>
  <si>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</si>
  <si>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</si>
  <si>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</si>
  <si>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</si>
  <si>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</si>
  <si>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</si>
  <si>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</si>
  <si>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</si>
  <si>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</si>
  <si>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</si>
  <si>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</si>
  <si>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</si>
  <si>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</si>
  <si>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</si>
  <si>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</si>
  <si>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</si>
  <si>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</si>
  <si>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</si>
  <si>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</si>
  <si>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</si>
  <si>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</si>
  <si>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</si>
  <si>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</si>
  <si>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</si>
  <si>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</si>
  <si>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</si>
  <si>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</si>
  <si>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</si>
  <si>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</si>
  <si>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</si>
  <si>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</si>
  <si>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</si>
  <si>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</si>
  <si>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</si>
  <si>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</si>
  <si>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</si>
  <si>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</si>
  <si>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</si>
  <si>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</si>
  <si>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</si>
  <si>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</si>
  <si>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</si>
  <si>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</si>
  <si>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</si>
  <si>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</si>
  <si>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</si>
  <si>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</si>
  <si>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</si>
  <si>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</si>
  <si>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</si>
  <si>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</si>
  <si>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</si>
  <si>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</si>
  <si>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</si>
  <si>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</si>
  <si>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</si>
  <si>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</si>
  <si>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</si>
  <si>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</si>
  <si>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</si>
  <si>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</si>
  <si>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</si>
  <si>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</si>
  <si>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</si>
  <si>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</si>
  <si>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</si>
  <si>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</si>
  <si>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</si>
  <si>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</si>
  <si>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</si>
  <si>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</si>
  <si>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</si>
  <si>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</si>
  <si>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</si>
  <si>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</si>
  <si>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</si>
  <si>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</si>
  <si>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</si>
  <si>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</si>
  <si>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</si>
  <si>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</si>
  <si>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</si>
  <si>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</si>
  <si>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</si>
  <si>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</si>
  <si>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</si>
  <si>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</si>
  <si>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</si>
  <si>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</si>
  <si>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</si>
  <si>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</si>
  <si>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</si>
  <si>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</si>
  <si>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</si>
  <si>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</si>
  <si>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</si>
  <si>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</si>
  <si>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</si>
  <si>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</si>
  <si>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</si>
  <si>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</si>
  <si>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</si>
  <si>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</si>
  <si>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</si>
  <si>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</si>
  <si>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</si>
  <si>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</si>
  <si>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</si>
  <si>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</si>
  <si>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</si>
  <si>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</si>
  <si>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</si>
  <si>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</si>
  <si>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</si>
  <si>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</si>
  <si>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</si>
  <si>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</si>
  <si>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</si>
  <si>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</si>
  <si>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</si>
  <si>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</si>
  <si>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</si>
  <si>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</si>
  <si>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</si>
  <si>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</si>
  <si>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</si>
  <si>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</si>
  <si>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</si>
  <si>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</si>
  <si>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</si>
  <si>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</si>
  <si>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</si>
  <si>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</si>
  <si>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</si>
  <si>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</si>
  <si>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</si>
  <si>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</si>
  <si>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</si>
  <si>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</si>
  <si>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</si>
  <si>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</si>
  <si>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</si>
  <si>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</si>
  <si>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</si>
  <si>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</si>
  <si>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</si>
  <si>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</si>
  <si>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</si>
  <si>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</si>
  <si>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</si>
  <si>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</si>
  <si>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</si>
  <si>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</si>
  <si>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</si>
  <si>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</si>
  <si>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</si>
  <si>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</si>
  <si>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</si>
  <si>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</si>
  <si>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</si>
  <si>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</si>
  <si>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</si>
  <si>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</si>
  <si>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</si>
  <si>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</si>
  <si>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</si>
  <si>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</si>
  <si>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</si>
  <si>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</si>
  <si>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</si>
  <si>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</si>
  <si>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</si>
  <si>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</si>
  <si>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</si>
  <si>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</si>
  <si>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</si>
  <si>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</si>
  <si>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</si>
  <si>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</si>
  <si>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</si>
  <si>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</si>
  <si>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</si>
  <si>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</si>
  <si>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</si>
  <si>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</si>
  <si>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</si>
  <si>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</si>
  <si>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</si>
  <si>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</si>
  <si>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</si>
  <si>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</si>
  <si>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</si>
  <si>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</si>
  <si>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</si>
  <si>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</si>
  <si>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</si>
  <si>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</si>
  <si>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</si>
  <si>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</si>
  <si>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</si>
  <si>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</si>
  <si>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</si>
  <si>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</si>
  <si>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</si>
  <si>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</si>
  <si>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</si>
  <si>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</si>
  <si>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</si>
  <si>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</si>
  <si>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</si>
  <si>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</si>
  <si>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</si>
  <si>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</si>
  <si>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</si>
  <si>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</si>
  <si>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</si>
  <si>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</si>
  <si>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</si>
  <si>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</si>
  <si>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</si>
  <si>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</si>
  <si>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</si>
  <si>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</si>
  <si>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</si>
  <si>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</si>
  <si>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</si>
  <si>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</si>
  <si>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</si>
  <si>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</si>
  <si>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</si>
  <si>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</si>
  <si>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</si>
  <si>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</si>
  <si>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</si>
  <si>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</si>
  <si>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</si>
  <si>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</si>
  <si>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</si>
  <si>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</si>
  <si>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</si>
  <si>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</si>
  <si>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</si>
  <si>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</si>
  <si>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</si>
  <si>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</si>
  <si>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</si>
  <si>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</si>
  <si>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</si>
  <si>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</si>
  <si>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</si>
  <si>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</si>
  <si>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</si>
  <si>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</si>
  <si>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</si>
  <si>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</si>
  <si>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</si>
  <si>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</si>
  <si>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</si>
  <si>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</si>
  <si>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</si>
  <si>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</si>
  <si>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</si>
  <si>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</si>
  <si>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</si>
  <si>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</si>
  <si>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</si>
  <si>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</si>
  <si>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</si>
  <si>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</si>
  <si>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</si>
  <si>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</si>
  <si>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</si>
  <si>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</si>
  <si>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</si>
  <si>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</si>
  <si>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</si>
  <si>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</si>
  <si>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</si>
  <si>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</si>
  <si>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</si>
  <si>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</si>
  <si>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</si>
  <si>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</si>
  <si>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</si>
  <si>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</si>
  <si>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</si>
  <si>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</si>
  <si>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</si>
  <si>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</si>
  <si>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</si>
  <si>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</si>
  <si>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</si>
  <si>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</si>
  <si>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</si>
  <si>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</si>
  <si>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</si>
  <si>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</si>
  <si>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</si>
  <si>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</si>
  <si>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</si>
  <si>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</si>
  <si>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</si>
  <si>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</si>
  <si>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</si>
  <si>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</si>
  <si>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</si>
  <si>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</si>
  <si>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</si>
  <si>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</si>
  <si>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</si>
  <si>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</si>
  <si>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</si>
  <si>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</si>
  <si>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</si>
  <si>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</si>
  <si>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</si>
  <si>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</si>
  <si>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</si>
  <si>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</si>
  <si>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</si>
  <si>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</si>
  <si>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</si>
  <si>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</si>
  <si>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</si>
  <si>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</si>
  <si>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</si>
  <si>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</si>
  <si>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</si>
  <si>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</si>
  <si>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</si>
  <si>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</si>
  <si>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</si>
  <si>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</si>
  <si>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</si>
  <si>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</si>
  <si>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</si>
  <si>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</si>
  <si>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</si>
  <si>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</si>
  <si>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</si>
  <si>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</si>
  <si>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</si>
  <si>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</si>
  <si>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</si>
  <si>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</si>
  <si>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</si>
  <si>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</si>
  <si>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</si>
  <si>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</si>
  <si>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</si>
  <si>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</si>
  <si>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</si>
  <si>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</si>
  <si>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</si>
  <si>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</si>
  <si>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</si>
  <si>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</si>
  <si>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</si>
  <si>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</si>
  <si>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</si>
  <si>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</si>
  <si>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</si>
  <si>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</si>
  <si>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</si>
  <si>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</si>
  <si>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</si>
  <si>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</si>
  <si>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</si>
  <si>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</si>
  <si>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</si>
  <si>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</si>
  <si>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</si>
  <si>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</si>
  <si>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</si>
  <si>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</si>
  <si>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</si>
  <si>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</si>
  <si>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</si>
  <si>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</si>
  <si>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</si>
  <si>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</si>
  <si>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</si>
  <si>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</si>
  <si>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</si>
  <si>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</si>
  <si>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</si>
  <si>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</si>
  <si>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</si>
  <si>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</si>
  <si>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</si>
  <si>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</si>
  <si>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</si>
  <si>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</si>
  <si>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</si>
  <si>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</si>
  <si>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</si>
  <si>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</si>
  <si>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</si>
  <si>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</si>
  <si>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</si>
  <si>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</si>
  <si>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</si>
  <si>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</si>
  <si>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</si>
  <si>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</si>
  <si>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</si>
  <si>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</si>
  <si>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</si>
  <si>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</si>
  <si>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</si>
  <si>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</si>
  <si>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</si>
  <si>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</si>
  <si>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</si>
  <si>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</si>
  <si>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</si>
  <si>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</si>
  <si>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</si>
  <si>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</si>
  <si>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</si>
  <si>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</si>
  <si>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</si>
  <si>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</si>
  <si>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</si>
  <si>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</si>
  <si>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</si>
  <si>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</si>
  <si>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</si>
  <si>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</si>
  <si>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</si>
  <si>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</si>
  <si>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</si>
  <si>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</si>
  <si>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</si>
  <si>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</si>
  <si>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</si>
  <si>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</si>
  <si>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</si>
  <si>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</si>
  <si>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</si>
  <si>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</si>
  <si>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</si>
  <si>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</si>
  <si>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</si>
  <si>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</si>
  <si>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</si>
  <si>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</si>
  <si>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</si>
  <si>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</si>
  <si>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</si>
  <si>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</si>
  <si>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</si>
  <si>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</si>
  <si>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</si>
  <si>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</si>
  <si>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</si>
  <si>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</si>
  <si>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</si>
  <si>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</si>
  <si>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</si>
  <si>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</si>
  <si>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</si>
  <si>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</si>
  <si>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</si>
  <si>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</si>
  <si>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</si>
  <si>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</si>
  <si>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</si>
  <si>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</si>
  <si>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</si>
  <si>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</si>
  <si>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</si>
  <si>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</si>
  <si>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</si>
  <si>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</si>
  <si>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</si>
  <si>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</si>
  <si>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</si>
  <si>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</si>
  <si>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</si>
  <si>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</si>
  <si>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</si>
  <si>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</si>
  <si>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</si>
  <si>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</si>
  <si>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</si>
  <si>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</si>
  <si>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</si>
  <si>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</si>
  <si>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</si>
  <si>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</si>
  <si>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</si>
  <si>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</si>
  <si>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</si>
  <si>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</si>
  <si>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</si>
  <si>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</si>
  <si>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</si>
  <si>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</si>
  <si>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</si>
  <si>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</si>
  <si>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</si>
  <si>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</si>
  <si>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</si>
  <si>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</si>
  <si>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</si>
  <si>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</si>
  <si>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</si>
  <si>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</si>
  <si>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</si>
  <si>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</si>
  <si>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</si>
  <si>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</si>
  <si>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</si>
  <si>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</si>
  <si>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</si>
  <si>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</si>
  <si>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</si>
  <si>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</si>
  <si>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</si>
  <si>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</si>
  <si>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</si>
  <si>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</si>
  <si>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</si>
  <si>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</si>
  <si>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</si>
  <si>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</si>
  <si>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</si>
  <si>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</si>
  <si>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</si>
  <si>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</si>
  <si>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</si>
  <si>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</si>
  <si>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</si>
  <si>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</si>
  <si>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</si>
  <si>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</si>
  <si>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</si>
  <si>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</si>
  <si>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</si>
  <si>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</si>
  <si>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</si>
  <si>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</si>
  <si>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</si>
  <si>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</si>
  <si>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</si>
  <si>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</si>
  <si>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</si>
  <si>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</si>
  <si>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</si>
  <si>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</si>
  <si>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</si>
  <si>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</si>
  <si>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</si>
  <si>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</si>
  <si>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</si>
  <si>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</si>
  <si>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</si>
  <si>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</si>
  <si>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</si>
  <si>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</si>
  <si>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</si>
  <si>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</si>
  <si>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</si>
  <si>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</si>
  <si>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</si>
  <si>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</si>
  <si>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</si>
  <si>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</si>
  <si>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</si>
  <si>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</si>
  <si>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</si>
  <si>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</si>
  <si>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</si>
  <si>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</si>
  <si>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</si>
  <si>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</si>
  <si>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</si>
  <si>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</si>
  <si>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</si>
  <si>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</si>
  <si>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</si>
  <si>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</si>
  <si>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</si>
  <si>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</si>
  <si>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</si>
  <si>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</si>
  <si>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</si>
  <si>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</si>
  <si>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</si>
  <si>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</si>
  <si>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</si>
  <si>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</si>
  <si>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</si>
  <si>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</si>
  <si>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</si>
  <si>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</si>
  <si>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</si>
  <si>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</si>
  <si>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</si>
  <si>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</si>
  <si>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</si>
  <si>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</si>
  <si>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</si>
  <si>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</si>
  <si>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</si>
  <si>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</si>
  <si>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</si>
  <si>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</si>
  <si>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</si>
  <si>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</si>
  <si>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</si>
  <si>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</si>
  <si>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</si>
  <si>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</si>
  <si>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</si>
  <si>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</si>
  <si>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</si>
  <si>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</si>
  <si>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</si>
  <si>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</si>
  <si>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</si>
  <si>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</si>
  <si>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</si>
  <si>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</si>
  <si>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</si>
  <si>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</si>
  <si>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</si>
  <si>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</si>
  <si>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</si>
  <si>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</si>
  <si>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</si>
  <si>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</si>
  <si>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</si>
  <si>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</si>
  <si>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</si>
  <si>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</si>
  <si>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</si>
  <si>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</si>
  <si>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</si>
  <si>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</si>
  <si>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</si>
  <si>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</si>
  <si>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</si>
  <si>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</si>
  <si>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</si>
  <si>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</si>
  <si>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</si>
  <si>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</si>
  <si>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</si>
  <si>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</si>
  <si>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</si>
  <si>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</si>
  <si>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</si>
  <si>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</si>
  <si>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</si>
  <si>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</si>
  <si>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</si>
  <si>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</si>
  <si>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</si>
  <si>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</si>
  <si>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</si>
  <si>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</si>
  <si>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</si>
  <si>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</si>
  <si>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</si>
  <si>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</si>
  <si>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</si>
  <si>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</si>
  <si>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</si>
  <si>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</si>
  <si>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</si>
  <si>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</si>
  <si>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</si>
  <si>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</si>
  <si>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</si>
  <si>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</si>
  <si>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</si>
  <si>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</si>
  <si>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</si>
  <si>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</si>
  <si>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</si>
  <si>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</si>
  <si>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</si>
  <si>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</si>
  <si>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</si>
  <si>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</si>
  <si>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</si>
  <si>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</si>
  <si>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</si>
  <si>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</si>
  <si>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</si>
  <si>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</si>
  <si>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</si>
  <si>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</si>
  <si>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</si>
  <si>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</si>
  <si>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</si>
  <si>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</si>
  <si>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</si>
  <si>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</si>
  <si>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</si>
  <si>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</si>
  <si>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</si>
  <si>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</si>
  <si>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</si>
  <si>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</si>
  <si>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</si>
  <si>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</si>
  <si>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</si>
  <si>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</si>
  <si>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</si>
  <si>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</si>
  <si>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</si>
  <si>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</si>
  <si>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</si>
  <si>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</si>
  <si>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</si>
  <si>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</si>
  <si>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</si>
  <si>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</si>
  <si>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</si>
  <si>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</si>
  <si>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</si>
  <si>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</si>
  <si>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</si>
  <si>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</si>
  <si>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</si>
  <si>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</si>
  <si>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</si>
  <si>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</si>
  <si>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</si>
  <si>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</si>
  <si>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</si>
  <si>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</si>
  <si>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</si>
  <si>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</si>
  <si>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</si>
  <si>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</si>
  <si>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</si>
  <si>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</si>
  <si>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</si>
  <si>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</si>
  <si>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</si>
  <si>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</si>
  <si>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</si>
  <si>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</si>
  <si>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</si>
  <si>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</si>
  <si>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</si>
  <si>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</si>
  <si>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</si>
  <si>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</si>
  <si>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</si>
  <si>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</si>
  <si>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</si>
  <si>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</si>
  <si>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</si>
  <si>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</si>
  <si>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</si>
  <si>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</si>
  <si>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</si>
  <si>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</si>
  <si>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</si>
  <si>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</si>
  <si>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</si>
  <si>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</si>
  <si>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</si>
  <si>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</si>
  <si>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</si>
  <si>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</si>
  <si>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</si>
  <si>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</si>
  <si>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</si>
  <si>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</si>
  <si>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</si>
  <si>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</si>
  <si>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</si>
  <si>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</si>
  <si>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</si>
  <si>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</si>
  <si>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</si>
  <si>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</si>
  <si>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</si>
  <si>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</si>
  <si>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</si>
  <si>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</si>
  <si>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</si>
  <si>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</si>
  <si>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</si>
  <si>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</si>
  <si>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</si>
  <si>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</si>
  <si>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</si>
  <si>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</si>
  <si>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</si>
  <si>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</si>
  <si>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</si>
  <si>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</si>
  <si>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</si>
  <si>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</si>
  <si>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</si>
  <si>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</si>
  <si>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</si>
  <si>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</si>
  <si>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</si>
  <si>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</si>
  <si>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</si>
  <si>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</si>
  <si>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</si>
  <si>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</si>
  <si>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</si>
  <si>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</si>
  <si>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</si>
  <si>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</si>
  <si>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</si>
  <si>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</si>
  <si>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</si>
  <si>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</si>
  <si>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</si>
  <si>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</si>
  <si>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</si>
  <si>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</si>
  <si>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</si>
  <si>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</si>
  <si>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</si>
  <si>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</si>
  <si>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</si>
  <si>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</si>
  <si>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</si>
  <si>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</si>
  <si>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</si>
  <si>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</si>
  <si>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</si>
  <si>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</si>
  <si>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</si>
  <si>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</si>
  <si>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</si>
  <si>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</si>
  <si>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</si>
  <si>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</si>
  <si>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</si>
  <si>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</si>
  <si>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</si>
  <si>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</si>
  <si>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</si>
  <si>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</si>
  <si>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</si>
  <si>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</si>
  <si>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</si>
  <si>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</si>
  <si>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</si>
  <si>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</si>
  <si>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</si>
  <si>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</si>
  <si>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</si>
  <si>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</si>
  <si>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</si>
  <si>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</si>
  <si>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</si>
  <si>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</si>
  <si>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</si>
  <si>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</si>
  <si>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</si>
  <si>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</si>
  <si>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</si>
  <si>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</si>
  <si>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</si>
  <si>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</si>
  <si>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</si>
  <si>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</si>
  <si>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</si>
  <si>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</si>
  <si>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</si>
  <si>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</si>
  <si>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</si>
  <si>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</si>
  <si>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</si>
  <si>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</si>
  <si>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</si>
  <si>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</si>
  <si>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</si>
  <si>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</si>
  <si>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</si>
  <si>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</si>
  <si>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</si>
  <si>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</si>
  <si>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</si>
  <si>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</si>
  <si>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</si>
  <si>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</si>
  <si>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</si>
  <si>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</si>
  <si>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</si>
  <si>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</si>
  <si>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</si>
  <si>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</si>
  <si>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</si>
  <si>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</si>
  <si>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</si>
  <si>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</si>
  <si>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</si>
  <si>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</si>
  <si>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</si>
  <si>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</si>
  <si>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</si>
  <si>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</si>
  <si>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</si>
  <si>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</si>
  <si>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</si>
  <si>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</si>
  <si>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</si>
  <si>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</si>
  <si>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</si>
  <si>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</si>
  <si>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</si>
  <si>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</si>
  <si>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</si>
  <si>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</si>
  <si>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</si>
  <si>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</si>
  <si>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</si>
  <si>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</si>
  <si>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</si>
  <si>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</si>
  <si>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</si>
  <si>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</si>
  <si>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</si>
  <si>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</si>
  <si>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</si>
  <si>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</si>
  <si>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</si>
  <si>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</si>
  <si>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</si>
  <si>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</si>
  <si>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</si>
  <si>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</si>
  <si>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</si>
  <si>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</si>
  <si>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</si>
  <si>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</si>
  <si>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</si>
  <si>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</si>
  <si>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</si>
  <si>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</si>
  <si>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</si>
  <si>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</si>
  <si>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</si>
  <si>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</si>
  <si>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</si>
  <si>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</si>
  <si>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</si>
  <si>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</si>
  <si>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</si>
  <si>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</si>
  <si>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</si>
  <si>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</si>
  <si>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</si>
  <si>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</si>
  <si>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</si>
  <si>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</si>
  <si>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</si>
  <si>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</si>
  <si>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</si>
  <si>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</si>
  <si>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</si>
  <si>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</si>
  <si>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</si>
  <si>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</si>
  <si>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</si>
  <si>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</si>
  <si>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</si>
  <si>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</si>
  <si>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</si>
  <si>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</si>
  <si>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</si>
  <si>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</si>
  <si>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</si>
  <si>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</si>
  <si>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</si>
  <si>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</si>
  <si>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</si>
  <si>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</si>
  <si>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</si>
  <si>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</si>
  <si>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</si>
  <si>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</si>
  <si>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</si>
  <si>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</si>
  <si>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</si>
  <si>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</si>
  <si>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</si>
  <si>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</si>
  <si>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</si>
  <si>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</si>
  <si>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</si>
  <si>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</si>
  <si>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</si>
  <si>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</si>
  <si>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</si>
  <si>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</si>
  <si>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</si>
  <si>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</si>
  <si>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</si>
  <si>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</si>
  <si>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</si>
  <si>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</si>
  <si>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</si>
  <si>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</si>
  <si>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</si>
  <si>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</si>
  <si>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</si>
  <si>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</si>
  <si>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</si>
  <si>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</si>
  <si>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</si>
  <si>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</si>
  <si>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</si>
  <si>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</si>
  <si>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</si>
  <si>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</si>
  <si>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</si>
  <si>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</si>
  <si>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</si>
  <si>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</si>
  <si>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</si>
  <si>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</si>
  <si>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</si>
  <si>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</si>
  <si>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</si>
  <si>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</si>
  <si>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</si>
  <si>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</si>
  <si>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</si>
  <si>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</si>
  <si>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</si>
  <si>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</si>
  <si>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</si>
  <si>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</si>
  <si>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</si>
  <si>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</si>
  <si>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</si>
  <si>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</si>
  <si>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</si>
  <si>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</si>
  <si>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</si>
  <si>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</si>
  <si>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</si>
  <si>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</si>
  <si>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</si>
  <si>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</si>
  <si>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</si>
  <si>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</si>
  <si>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</si>
  <si>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</si>
  <si>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</si>
  <si>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</si>
  <si>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</si>
  <si>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</si>
  <si>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</si>
  <si>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</si>
  <si>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</si>
  <si>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</si>
  <si>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</si>
  <si>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</si>
  <si>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</si>
  <si>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</si>
  <si>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</si>
  <si>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</si>
  <si>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</si>
  <si>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</si>
  <si>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</si>
  <si>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</si>
  <si>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</si>
  <si>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</si>
  <si>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</si>
  <si>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</si>
  <si>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</si>
  <si>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</si>
  <si>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</si>
  <si>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</si>
  <si>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</si>
  <si>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</si>
  <si>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</si>
  <si>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</si>
  <si>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</si>
  <si>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</si>
  <si>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</si>
  <si>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</si>
  <si>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</si>
  <si>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</si>
  <si>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</si>
  <si>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</si>
  <si>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</si>
  <si>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</si>
  <si>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</si>
  <si>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</si>
  <si>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</si>
  <si>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</si>
  <si>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</si>
  <si>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</si>
  <si>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</si>
  <si>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</si>
  <si>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</si>
  <si>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</si>
  <si>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</si>
  <si>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</si>
  <si>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</si>
  <si>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</si>
  <si>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</si>
  <si>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</si>
  <si>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</si>
  <si>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</si>
  <si>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</si>
  <si>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</si>
  <si>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</si>
  <si>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</si>
  <si>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</si>
  <si>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</si>
  <si>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</si>
  <si>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</si>
  <si>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</si>
  <si>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</si>
  <si>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</si>
  <si>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</si>
  <si>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</si>
  <si>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</si>
  <si>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</si>
  <si>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</si>
  <si>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</si>
  <si>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</si>
  <si>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</si>
  <si>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</si>
  <si>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</si>
  <si>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</si>
  <si>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</si>
  <si>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</si>
  <si>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</si>
  <si>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</si>
  <si>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</si>
  <si>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</si>
  <si>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</si>
  <si>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</si>
  <si>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</si>
  <si>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</si>
  <si>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</si>
  <si>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</si>
  <si>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</si>
  <si>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</si>
  <si>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</si>
  <si>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</si>
  <si>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</si>
  <si>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</si>
  <si>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</si>
  <si>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</si>
  <si>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</si>
  <si>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</si>
  <si>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</si>
  <si>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</si>
  <si>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</si>
  <si>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</si>
  <si>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</si>
  <si>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</si>
  <si>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</si>
  <si>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</si>
  <si>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</si>
  <si>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</si>
  <si>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</si>
  <si>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</si>
  <si>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</si>
  <si>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</si>
  <si>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</si>
  <si>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</si>
  <si>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</si>
  <si>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</si>
  <si>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</si>
  <si>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</si>
  <si>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</si>
  <si>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</si>
  <si>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</si>
  <si>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</si>
  <si>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</si>
  <si>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</si>
  <si>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</si>
  <si>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</si>
  <si>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</si>
  <si>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</si>
  <si>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</si>
  <si>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</si>
  <si>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</si>
  <si>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</si>
  <si>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</si>
  <si>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</si>
  <si>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</si>
  <si>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</si>
  <si>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</si>
  <si>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</si>
  <si>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</si>
  <si>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</si>
  <si>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</si>
  <si>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</si>
  <si>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</si>
  <si>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</si>
  <si>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</si>
  <si>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</si>
  <si>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</si>
  <si>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</si>
  <si>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</si>
  <si>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</si>
  <si>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</si>
  <si>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</si>
  <si>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</si>
  <si>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</si>
  <si>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</si>
  <si>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</si>
  <si>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</si>
  <si>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</si>
  <si>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</si>
  <si>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</si>
  <si>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</si>
  <si>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</si>
  <si>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</si>
  <si>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</si>
  <si>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</si>
  <si>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</si>
  <si>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</si>
  <si>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</si>
  <si>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</si>
  <si>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</si>
  <si>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</si>
  <si>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</si>
  <si>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</si>
  <si>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</si>
  <si>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</si>
  <si>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</si>
  <si>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</si>
  <si>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</si>
  <si>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</si>
  <si>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</si>
  <si>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</si>
  <si>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</si>
  <si>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</si>
  <si>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</si>
  <si>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</si>
  <si>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</si>
  <si>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</si>
  <si>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</si>
  <si>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</si>
  <si>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</si>
  <si>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</si>
  <si>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</si>
  <si>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</si>
  <si>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</si>
  <si>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</si>
  <si>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</si>
  <si>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</si>
  <si>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</si>
  <si>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</si>
  <si>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</si>
  <si>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</si>
  <si>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</si>
  <si>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</si>
  <si>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</si>
  <si>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</si>
  <si>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</si>
  <si>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</si>
  <si>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</si>
  <si>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</si>
  <si>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</si>
  <si>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</si>
  <si>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</si>
  <si>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</si>
  <si>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</si>
  <si>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</si>
  <si>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</si>
  <si>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</si>
  <si>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</si>
  <si>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</si>
  <si>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</si>
  <si>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</si>
  <si>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</si>
  <si>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</si>
  <si>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</si>
  <si>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</si>
  <si>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</si>
  <si>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</si>
  <si>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</si>
  <si>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</si>
  <si>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</si>
  <si>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</si>
  <si>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</si>
  <si>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</si>
  <si>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</si>
  <si>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</si>
  <si>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</si>
  <si>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</si>
  <si>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</si>
  <si>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</si>
  <si>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</si>
  <si>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</si>
  <si>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</si>
  <si>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</si>
  <si>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</si>
  <si>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</si>
  <si>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</si>
  <si>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</si>
  <si>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</si>
  <si>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</si>
  <si>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</si>
  <si>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</si>
  <si>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</si>
  <si>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</si>
  <si>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</si>
  <si>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</si>
  <si>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</si>
  <si>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</si>
  <si>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</si>
  <si>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</si>
  <si>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</si>
  <si>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</si>
  <si>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</si>
  <si>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</si>
  <si>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</si>
  <si>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</si>
  <si>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</si>
  <si>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</si>
  <si>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</si>
  <si>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</si>
  <si>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</si>
  <si>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</si>
  <si>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</si>
  <si>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</si>
  <si>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</si>
  <si>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</si>
  <si>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</si>
  <si>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</si>
  <si>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</si>
  <si>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</si>
  <si>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</si>
  <si>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</si>
  <si>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</si>
  <si>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</si>
  <si>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</si>
  <si>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</si>
  <si>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</si>
  <si>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</si>
  <si>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</si>
  <si>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</si>
  <si>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</si>
  <si>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</si>
  <si>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</si>
  <si>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</si>
  <si>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</si>
  <si>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</si>
  <si>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</si>
  <si>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</si>
  <si>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</si>
  <si>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</si>
  <si>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</si>
  <si>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</si>
  <si>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</si>
  <si>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</si>
  <si>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</si>
  <si>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</si>
  <si>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</si>
  <si>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</si>
  <si>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</si>
  <si>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</si>
  <si>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</si>
  <si>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</si>
  <si>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</si>
  <si>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</si>
  <si>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</si>
  <si>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</si>
  <si>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</si>
  <si>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</si>
  <si>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</si>
  <si>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</si>
  <si>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</si>
  <si>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</si>
  <si>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</si>
  <si>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</si>
  <si>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</si>
  <si>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</si>
  <si>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</si>
  <si>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</si>
  <si>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</si>
  <si>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</si>
  <si>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</si>
  <si>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</si>
  <si>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</si>
  <si>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</si>
  <si>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</si>
  <si>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</si>
  <si>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</si>
  <si>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</si>
  <si>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</si>
  <si>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</si>
  <si>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</si>
  <si>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</si>
  <si>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</si>
  <si>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</si>
  <si>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</si>
  <si>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</si>
  <si>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</si>
  <si>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</si>
  <si>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</si>
  <si>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</si>
  <si>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</si>
  <si>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</si>
  <si>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</si>
  <si>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</si>
  <si>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</si>
  <si>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</si>
  <si>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</si>
  <si>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</si>
  <si>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</si>
  <si>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</si>
  <si>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</si>
  <si>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</si>
  <si>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</si>
  <si>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</si>
  <si>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</si>
  <si>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</si>
  <si>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</si>
  <si>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</si>
  <si>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</si>
  <si>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</si>
  <si>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</si>
  <si>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</si>
  <si>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</si>
  <si>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</si>
  <si>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</si>
  <si>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</si>
  <si>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</si>
  <si>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</si>
  <si>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</si>
  <si>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</si>
  <si>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</si>
  <si>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</si>
  <si>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</si>
  <si>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</si>
  <si>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</si>
  <si>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</si>
  <si>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</si>
  <si>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</si>
  <si>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</si>
  <si>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</si>
  <si>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</si>
  <si>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</si>
  <si>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</si>
  <si>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</si>
  <si>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</si>
  <si>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</si>
  <si>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</si>
  <si>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</si>
  <si>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</si>
  <si>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</si>
  <si>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</si>
  <si>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</si>
  <si>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</si>
  <si>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</si>
  <si>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</si>
  <si>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</si>
  <si>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</si>
  <si>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</si>
  <si>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</si>
  <si>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</si>
  <si>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</si>
  <si>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</si>
  <si>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</si>
  <si>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</si>
  <si>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</si>
  <si>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</si>
  <si>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</si>
  <si>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</si>
  <si>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</si>
  <si>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</si>
  <si>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</si>
  <si>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</si>
  <si>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</si>
  <si>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</si>
  <si>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</si>
  <si>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</si>
  <si>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</si>
  <si>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</si>
  <si>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</si>
  <si>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</si>
  <si>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</si>
  <si>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</si>
  <si>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</si>
  <si>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</si>
  <si>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</si>
  <si>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</si>
  <si>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</si>
  <si>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</si>
  <si>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</si>
  <si>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</si>
  <si>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</si>
  <si>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</si>
  <si>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</si>
  <si>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</si>
  <si>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</si>
  <si>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</si>
  <si>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</si>
  <si>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</si>
  <si>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</si>
  <si>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</si>
  <si>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</si>
  <si>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</si>
  <si>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</si>
  <si>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</si>
  <si>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</si>
  <si>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</si>
  <si>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</si>
  <si>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</si>
  <si>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</si>
  <si>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</si>
  <si>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</si>
  <si>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</si>
  <si>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</si>
  <si>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</si>
  <si>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</si>
  <si>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</si>
  <si>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</si>
  <si>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</si>
  <si>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</si>
  <si>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</si>
  <si>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</si>
  <si>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</si>
  <si>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</si>
  <si>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</si>
  <si>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</si>
  <si>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</si>
  <si>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</si>
  <si>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</si>
  <si>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</si>
  <si>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</si>
  <si>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</si>
  <si>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</si>
  <si>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</si>
  <si>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</si>
  <si>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</si>
  <si>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</si>
  <si>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</si>
  <si>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</si>
  <si>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</si>
  <si>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</si>
  <si>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</si>
  <si>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</si>
  <si>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</si>
  <si>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</si>
  <si>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</si>
  <si>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</si>
  <si>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</si>
  <si>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</si>
  <si>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</si>
  <si>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</si>
  <si>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</si>
  <si>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</si>
  <si>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</si>
  <si>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</si>
  <si>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</si>
  <si>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</si>
  <si>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</si>
  <si>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</si>
  <si>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</si>
  <si>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</si>
  <si>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</si>
  <si>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</si>
  <si>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</si>
  <si>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</si>
  <si>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</si>
  <si>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</si>
  <si>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</si>
  <si>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</si>
  <si>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</si>
  <si>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</si>
  <si>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</si>
  <si>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</si>
  <si>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</si>
  <si>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</si>
  <si>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</si>
  <si>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</si>
  <si>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</si>
  <si>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</si>
  <si>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</si>
  <si>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</si>
  <si>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</si>
  <si>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</si>
  <si>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</si>
  <si>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</si>
  <si>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</si>
  <si>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</si>
  <si>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</si>
  <si>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</si>
  <si>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</si>
  <si>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</si>
  <si>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</si>
  <si>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</si>
  <si>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</si>
  <si>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</si>
  <si>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</si>
  <si>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</si>
  <si>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</si>
  <si>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</si>
  <si>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</si>
  <si>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</si>
  <si>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</si>
  <si>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</si>
  <si>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</si>
  <si>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</si>
  <si>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</si>
  <si>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</si>
  <si>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</si>
  <si>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</si>
  <si>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</si>
  <si>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</si>
  <si>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</si>
  <si>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</si>
  <si>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</si>
  <si>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</si>
  <si>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</si>
  <si>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</si>
  <si>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</si>
  <si>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</si>
  <si>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</si>
  <si>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</si>
  <si>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</si>
  <si>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</si>
  <si>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</si>
  <si>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</si>
  <si>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</si>
  <si>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</si>
  <si>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</si>
  <si>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</si>
  <si>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</si>
  <si>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</si>
  <si>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</si>
  <si>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</si>
  <si>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</si>
  <si>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</si>
  <si>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</si>
  <si>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</si>
  <si>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</si>
  <si>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</si>
  <si>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</si>
  <si>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</si>
  <si>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</si>
  <si>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</si>
  <si>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</si>
  <si>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</si>
  <si>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</si>
  <si>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</si>
  <si>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</si>
  <si>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</si>
  <si>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</si>
  <si>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</si>
  <si>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</si>
  <si>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</si>
  <si>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</si>
  <si>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</si>
  <si>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</si>
  <si>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</si>
  <si>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</si>
  <si>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</si>
  <si>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</si>
  <si>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</si>
  <si>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</si>
  <si>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</si>
  <si>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</si>
  <si>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</si>
  <si>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</si>
  <si>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</si>
  <si>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</si>
  <si>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</si>
  <si>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</si>
  <si>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</si>
  <si>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</si>
  <si>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</si>
  <si>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</si>
  <si>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</si>
  <si>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</si>
  <si>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</si>
  <si>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</si>
  <si>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</si>
  <si>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</si>
  <si>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</si>
  <si>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</si>
  <si>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</si>
  <si>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</si>
  <si>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</si>
  <si>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</si>
  <si>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</si>
  <si>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</si>
  <si>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</si>
  <si>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</si>
  <si>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</si>
  <si>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</si>
  <si>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</si>
  <si>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</si>
  <si>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</si>
  <si>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</si>
  <si>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</si>
  <si>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</si>
  <si>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</si>
  <si>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</si>
  <si>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</si>
  <si>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</si>
  <si>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</si>
  <si>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</si>
  <si>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</si>
  <si>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</si>
  <si>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</si>
  <si>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</si>
  <si>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</si>
  <si>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</si>
  <si>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</si>
  <si>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</si>
  <si>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</si>
  <si>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</si>
  <si>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</si>
  <si>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</si>
  <si>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</si>
  <si>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</si>
  <si>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</si>
  <si>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</si>
  <si>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</si>
  <si>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</si>
  <si>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</si>
  <si>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</si>
  <si>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</si>
  <si>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</si>
  <si>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</si>
  <si>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</si>
  <si>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</si>
  <si>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</si>
  <si>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</si>
  <si>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</si>
  <si>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</si>
  <si>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</si>
  <si>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</si>
  <si>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</si>
  <si>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</si>
  <si>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</si>
  <si>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</si>
  <si>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</si>
  <si>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</si>
  <si>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</si>
  <si>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</si>
  <si>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</si>
  <si>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</si>
  <si>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</si>
  <si>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</si>
  <si>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</si>
  <si>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</si>
  <si>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</si>
  <si>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</si>
  <si>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</si>
  <si>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</si>
  <si>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</si>
  <si>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</si>
  <si>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</si>
  <si>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</si>
  <si>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</si>
  <si>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</si>
  <si>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</si>
  <si>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</si>
  <si>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</si>
  <si>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</si>
  <si>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</si>
  <si>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</si>
  <si>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</si>
  <si>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</si>
  <si>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</si>
  <si>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</si>
  <si>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</si>
  <si>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</si>
  <si>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</si>
  <si>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</si>
  <si>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</si>
  <si>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</si>
  <si>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</si>
  <si>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</si>
  <si>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</si>
  <si>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</si>
  <si>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</si>
  <si>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</si>
  <si>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</si>
  <si>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</si>
  <si>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</si>
  <si>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</si>
  <si>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</si>
  <si>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</si>
  <si>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</si>
  <si>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</si>
  <si>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</si>
  <si>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</si>
  <si>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</si>
  <si>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</si>
  <si>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</si>
  <si>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</si>
  <si>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</si>
  <si>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</si>
  <si>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</si>
  <si>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</si>
  <si>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</si>
  <si>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</si>
  <si>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</si>
  <si>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</si>
  <si>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</si>
  <si>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</si>
  <si>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</si>
  <si>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</si>
  <si>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</si>
  <si>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</si>
  <si>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</si>
  <si>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</si>
  <si>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</si>
  <si>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</si>
  <si>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</si>
  <si>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</si>
  <si>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</si>
  <si>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</si>
  <si>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</si>
  <si>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</si>
  <si>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</si>
  <si>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</si>
  <si>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</si>
  <si>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</si>
  <si>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</si>
  <si>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</si>
  <si>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</si>
  <si>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</si>
  <si>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</si>
  <si>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</si>
  <si>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</si>
  <si>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</si>
  <si>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</si>
  <si>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</si>
  <si>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</si>
  <si>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</si>
  <si>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</si>
  <si>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</si>
  <si>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</si>
  <si>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</si>
  <si>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</si>
  <si>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</si>
  <si>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</si>
  <si>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</si>
  <si>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</si>
  <si>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</si>
  <si>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</si>
  <si>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</si>
  <si>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</si>
  <si>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</si>
  <si>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</si>
  <si>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</si>
  <si>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</si>
  <si>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</si>
  <si>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</si>
  <si>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</si>
  <si>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</si>
  <si>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</si>
  <si>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</si>
  <si>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</si>
  <si>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</si>
  <si>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</si>
  <si>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</si>
  <si>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</si>
  <si>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</si>
  <si>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</si>
  <si>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</si>
  <si>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</si>
  <si>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</si>
  <si>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</si>
  <si>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</si>
  <si>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</si>
  <si>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</si>
  <si>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</si>
  <si>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</si>
  <si>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</si>
  <si>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</si>
  <si>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</si>
  <si>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</si>
  <si>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</si>
  <si>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</si>
  <si>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</si>
  <si>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</si>
  <si>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</si>
  <si>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</si>
  <si>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</si>
  <si>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</si>
  <si>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</si>
  <si>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</si>
  <si>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</si>
  <si>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</si>
  <si>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</si>
  <si>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</si>
  <si>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</si>
  <si>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</si>
  <si>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</si>
  <si>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</si>
  <si>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</si>
  <si>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</si>
  <si>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</si>
  <si>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</si>
  <si>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</si>
  <si>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</si>
  <si>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</si>
  <si>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</si>
  <si>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</si>
  <si>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</si>
  <si>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</si>
  <si>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</si>
  <si>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</si>
  <si>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</si>
  <si>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</si>
  <si>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</si>
  <si>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</si>
  <si>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</si>
  <si>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</si>
  <si>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</si>
  <si>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</si>
  <si>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</si>
  <si>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</si>
  <si>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</si>
  <si>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</si>
  <si>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</si>
  <si>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</si>
  <si>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</si>
  <si>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</si>
  <si>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</si>
  <si>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</si>
  <si>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</si>
  <si>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</si>
  <si>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</si>
  <si>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</si>
  <si>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</si>
  <si>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</si>
  <si>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</si>
  <si>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</si>
  <si>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</si>
  <si>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</si>
  <si>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</si>
  <si>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</si>
  <si>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</si>
  <si>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</si>
  <si>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</si>
  <si>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</si>
  <si>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</si>
  <si>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</si>
  <si>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</si>
  <si>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</si>
  <si>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</si>
  <si>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</si>
  <si>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</si>
  <si>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</si>
  <si>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</si>
  <si>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</si>
  <si>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</si>
  <si>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</si>
  <si>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</si>
  <si>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</si>
  <si>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</si>
  <si>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</si>
  <si>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</si>
  <si>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</si>
  <si>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</si>
  <si>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</si>
  <si>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</si>
  <si>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</si>
  <si>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</si>
  <si>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</si>
  <si>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</si>
  <si>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</si>
  <si>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</si>
  <si>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</si>
  <si>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</si>
  <si>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</si>
  <si>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</si>
  <si>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</si>
  <si>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</si>
  <si>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</si>
  <si>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</si>
  <si>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</si>
  <si>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</si>
  <si>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</si>
  <si>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</si>
  <si>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</si>
  <si>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</si>
  <si>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</si>
  <si>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</si>
  <si>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</si>
  <si>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</si>
  <si>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</si>
  <si>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</si>
  <si>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</si>
  <si>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</si>
  <si>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</si>
  <si>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</si>
  <si>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</si>
  <si>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</si>
  <si>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</si>
  <si>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</si>
  <si>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</si>
  <si>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</si>
  <si>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</si>
  <si>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</si>
  <si>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</si>
  <si>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</si>
  <si>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</si>
  <si>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</si>
  <si>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</si>
  <si>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</si>
  <si>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</si>
  <si>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</si>
  <si>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</si>
  <si>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</si>
  <si>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</si>
  <si>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</si>
  <si>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</si>
  <si>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</si>
  <si>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</si>
  <si>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</si>
  <si>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</si>
  <si>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</si>
  <si>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</si>
  <si>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</si>
  <si>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</si>
  <si>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</si>
  <si>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</si>
  <si>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</si>
  <si>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</si>
  <si>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</si>
  <si>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</si>
  <si>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</si>
  <si>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</si>
  <si>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</si>
  <si>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</si>
  <si>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</si>
  <si>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</si>
  <si>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</si>
  <si>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</si>
  <si>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</si>
  <si>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</si>
  <si>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</si>
  <si>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</si>
  <si>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</si>
  <si>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</si>
  <si>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</si>
  <si>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</si>
  <si>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</si>
  <si>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</si>
  <si>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</si>
  <si>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</si>
  <si>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</si>
  <si>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</si>
  <si>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</si>
  <si>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</si>
  <si>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</si>
  <si>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</si>
  <si>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</si>
  <si>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</si>
  <si>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</si>
  <si>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</si>
  <si>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</si>
  <si>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</si>
  <si>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</si>
  <si>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</si>
  <si>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</si>
  <si>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</si>
  <si>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</si>
  <si>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</si>
  <si>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</si>
  <si>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</si>
  <si>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</si>
  <si>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</si>
  <si>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</si>
  <si>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</si>
  <si>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</si>
  <si>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</si>
  <si>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</si>
  <si>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</si>
  <si>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</si>
  <si>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</si>
  <si>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</si>
  <si>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</si>
  <si>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</si>
  <si>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</si>
  <si>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</si>
  <si>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</si>
  <si>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</si>
  <si>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</si>
  <si>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</si>
  <si>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</si>
  <si>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</si>
  <si>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</si>
  <si>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</si>
  <si>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</si>
  <si>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</si>
  <si>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</si>
  <si>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</si>
  <si>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</si>
  <si>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</si>
  <si>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</si>
  <si>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</si>
  <si>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</si>
  <si>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</si>
  <si>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</si>
  <si>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</si>
  <si>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</si>
  <si>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</si>
  <si>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</si>
  <si>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</si>
  <si>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</si>
  <si>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</si>
  <si>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</si>
  <si>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</si>
  <si>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</si>
  <si>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</si>
  <si>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</si>
  <si>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</si>
  <si>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</si>
  <si>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</si>
  <si>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</si>
  <si>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</si>
  <si>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</si>
  <si>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</si>
  <si>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</si>
  <si>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</si>
  <si>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</si>
  <si>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</si>
  <si>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</si>
  <si>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</si>
  <si>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</si>
  <si>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</si>
  <si>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</si>
  <si>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</si>
  <si>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</si>
  <si>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</si>
  <si>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</si>
  <si>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</si>
  <si>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</si>
  <si>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</si>
  <si>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</si>
  <si>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</si>
  <si>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</si>
  <si>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</si>
  <si>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</si>
  <si>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</si>
  <si>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</si>
  <si>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</si>
  <si>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</si>
  <si>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</si>
  <si>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</si>
  <si>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</si>
  <si>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</si>
  <si>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</si>
  <si>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</si>
  <si>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</si>
  <si>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</si>
  <si>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</si>
  <si>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</si>
  <si>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</si>
  <si>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</si>
  <si>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</si>
  <si>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</si>
  <si>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</si>
  <si>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</si>
  <si>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</si>
  <si>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</si>
  <si>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</si>
  <si>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</si>
  <si>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</si>
  <si>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</si>
  <si>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</si>
  <si>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</si>
  <si>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</si>
  <si>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</si>
  <si>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</si>
  <si>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</si>
  <si>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</si>
  <si>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</si>
  <si>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</si>
  <si>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</si>
  <si>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</si>
  <si>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</si>
  <si>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</si>
  <si>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</si>
  <si>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</si>
  <si>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</si>
  <si>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</si>
  <si>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</si>
  <si>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</si>
  <si>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</si>
  <si>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</si>
  <si>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</si>
  <si>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</si>
  <si>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</si>
  <si>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</si>
  <si>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</si>
  <si>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</si>
  <si>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</si>
  <si>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</si>
  <si>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</si>
  <si>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</si>
  <si>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</si>
  <si>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</si>
  <si>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</si>
  <si>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</si>
  <si>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</si>
  <si>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</si>
  <si>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</si>
  <si>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</si>
  <si>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</si>
  <si>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</si>
  <si>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</si>
  <si>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</si>
  <si>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</si>
  <si>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</si>
  <si>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</si>
  <si>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</si>
  <si>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</si>
  <si>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</si>
  <si>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</si>
  <si>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</si>
  <si>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</si>
  <si>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</si>
  <si>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</si>
  <si>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</si>
  <si>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</si>
  <si>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</si>
  <si>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</si>
  <si>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</si>
  <si>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</si>
  <si>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</si>
  <si>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</si>
  <si>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</si>
  <si>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</si>
  <si>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</si>
  <si>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</si>
  <si>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</si>
  <si>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</si>
  <si>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</si>
  <si>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</si>
  <si>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</si>
  <si>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</si>
  <si>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</si>
  <si>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</si>
  <si>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</si>
  <si>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</si>
  <si>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</si>
  <si>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</si>
  <si>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</si>
  <si>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</si>
  <si>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</si>
  <si>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</si>
  <si>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</si>
  <si>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</si>
  <si>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</si>
  <si>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</si>
  <si>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</si>
  <si>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</si>
  <si>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</si>
  <si>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</si>
  <si>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</si>
  <si>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</si>
  <si>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</si>
  <si>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</si>
  <si>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</si>
  <si>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</si>
  <si>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</si>
  <si>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</si>
  <si>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</si>
  <si>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</si>
  <si>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</si>
  <si>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</si>
  <si>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</si>
  <si>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</si>
  <si>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</si>
  <si>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</si>
  <si>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</si>
  <si>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</si>
  <si>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</si>
  <si>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</si>
  <si>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</si>
  <si>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</si>
  <si>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</si>
  <si>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</si>
  <si>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</si>
  <si>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</si>
  <si>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</si>
  <si>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</si>
  <si>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</si>
  <si>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</si>
  <si>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</si>
  <si>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</si>
  <si>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</si>
  <si>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</si>
  <si>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</si>
  <si>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</si>
  <si>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</si>
  <si>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</si>
  <si>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</si>
  <si>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</si>
  <si>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</si>
  <si>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</si>
  <si>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</si>
  <si>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</si>
  <si>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</si>
  <si>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</si>
  <si>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</si>
  <si>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</si>
  <si>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</si>
  <si>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</si>
  <si>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</si>
  <si>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</si>
  <si>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</si>
  <si>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</si>
  <si>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</si>
  <si>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</si>
  <si>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</si>
  <si>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</si>
  <si>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</si>
  <si>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</si>
  <si>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</si>
  <si>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</si>
  <si>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</si>
  <si>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</si>
  <si>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</si>
  <si>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</si>
  <si>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</si>
  <si>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</si>
  <si>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</si>
  <si>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</si>
  <si>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</si>
  <si>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</si>
  <si>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</si>
  <si>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</si>
  <si>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</si>
  <si>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</si>
  <si>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</si>
  <si>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</si>
  <si>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</si>
  <si>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</si>
  <si>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</si>
  <si>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</si>
  <si>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</si>
  <si>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</si>
  <si>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</si>
  <si>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</si>
  <si>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</si>
  <si>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</si>
  <si>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</si>
  <si>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</si>
  <si>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</si>
  <si>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</si>
  <si>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</si>
  <si>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</si>
  <si>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</si>
  <si>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</si>
  <si>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</si>
  <si>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</si>
  <si>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</si>
  <si>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</si>
  <si>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</si>
  <si>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</si>
  <si>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</si>
  <si>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</si>
  <si>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</si>
  <si>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</si>
  <si>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</si>
  <si>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</si>
  <si>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</si>
  <si>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</si>
  <si>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</si>
  <si>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</si>
  <si>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</si>
  <si>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</si>
  <si>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</si>
  <si>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</si>
  <si>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</si>
  <si>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</si>
  <si>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</si>
  <si>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</si>
  <si>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</si>
  <si>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</si>
  <si>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</si>
  <si>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</si>
  <si>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</si>
  <si>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</si>
  <si>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</si>
  <si>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</si>
  <si>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</si>
  <si>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</si>
  <si>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</si>
  <si>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</si>
  <si>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</si>
  <si>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</si>
  <si>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</si>
  <si>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</si>
  <si>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</si>
  <si>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</si>
  <si>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</si>
  <si>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</si>
  <si>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</si>
  <si>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</si>
  <si>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</si>
  <si>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</si>
  <si>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</si>
  <si>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</si>
  <si>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</si>
  <si>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</si>
  <si>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</si>
  <si>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</si>
  <si>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</si>
  <si>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</si>
  <si>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</si>
  <si>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</si>
  <si>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</si>
  <si>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</si>
  <si>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</si>
  <si>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</si>
  <si>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</si>
  <si>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</si>
  <si>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</si>
  <si>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</si>
  <si>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</si>
  <si>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</si>
  <si>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</si>
  <si>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</si>
  <si>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</si>
  <si>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</si>
  <si>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</si>
  <si>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</si>
  <si>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</si>
  <si>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</si>
  <si>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</si>
  <si>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</si>
  <si>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</si>
  <si>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</si>
  <si>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</si>
  <si>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</si>
  <si>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</si>
  <si>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</si>
  <si>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</si>
  <si>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</si>
  <si>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</si>
  <si>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</si>
  <si>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</si>
  <si>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</si>
  <si>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</si>
  <si>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</si>
  <si>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</si>
  <si>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</si>
  <si>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</si>
  <si>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</si>
  <si>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</si>
  <si>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</si>
  <si>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</si>
  <si>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</si>
  <si>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</si>
  <si>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</si>
  <si>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</si>
  <si>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</si>
  <si>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</si>
  <si>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</si>
  <si>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</si>
  <si>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</si>
  <si>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</si>
  <si>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</si>
  <si>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</si>
  <si>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</si>
  <si>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</si>
  <si>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</si>
  <si>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</si>
  <si>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</si>
  <si>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</si>
  <si>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</si>
  <si>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</si>
  <si>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</si>
  <si>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</si>
  <si>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</si>
  <si>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</si>
  <si>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</si>
  <si>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</si>
  <si>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</si>
  <si>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</si>
  <si>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</si>
  <si>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</si>
  <si>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</si>
  <si>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</si>
  <si>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</si>
  <si>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</si>
  <si>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</si>
  <si>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</si>
  <si>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</si>
  <si>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</si>
  <si>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</si>
  <si>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</si>
  <si>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</si>
  <si>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</si>
  <si>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</si>
  <si>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</si>
  <si>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</si>
  <si>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</si>
  <si>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</si>
  <si>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</si>
  <si>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</si>
  <si>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</si>
  <si>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</si>
  <si>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</si>
  <si>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</si>
  <si>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</si>
  <si>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</si>
  <si>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</si>
  <si>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</si>
  <si>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</si>
  <si>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</si>
  <si>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</si>
  <si>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</si>
  <si>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</si>
  <si>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</si>
  <si>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</si>
  <si>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</si>
  <si>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</si>
  <si>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</si>
  <si>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</si>
  <si>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</si>
  <si>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</si>
  <si>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</si>
  <si>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</si>
  <si>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</si>
  <si>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</si>
  <si>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</si>
  <si>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</si>
  <si>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</si>
  <si>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</si>
  <si>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</si>
  <si>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</si>
  <si>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</si>
  <si>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</si>
  <si>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</si>
  <si>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</si>
  <si>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</si>
  <si>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</si>
  <si>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</si>
  <si>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</si>
  <si>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</si>
  <si>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</si>
  <si>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</si>
  <si>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</si>
  <si>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</si>
  <si>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</si>
  <si>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</si>
  <si>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</si>
  <si>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</si>
  <si>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</si>
  <si>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</si>
  <si>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</si>
  <si>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</si>
  <si>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</si>
  <si>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</si>
  <si>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</si>
  <si>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</si>
  <si>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</si>
  <si>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</si>
  <si>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</si>
  <si>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</si>
  <si>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</si>
  <si>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</si>
  <si>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</si>
  <si>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</si>
  <si>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</si>
  <si>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</si>
  <si>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</si>
  <si>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</si>
  <si>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</si>
  <si>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</si>
  <si>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</si>
  <si>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</si>
  <si>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</si>
  <si>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</si>
  <si>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</si>
  <si>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</si>
  <si>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</si>
  <si>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</si>
  <si>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</si>
  <si>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</si>
  <si>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</si>
  <si>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</si>
  <si>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</si>
  <si>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</si>
  <si>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</si>
  <si>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</si>
  <si>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</si>
  <si>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</si>
  <si>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</si>
  <si>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</si>
  <si>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</si>
  <si>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</si>
  <si>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</si>
  <si>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</si>
  <si>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</si>
  <si>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</si>
  <si>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</si>
  <si>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</si>
  <si>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</si>
  <si>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</si>
  <si>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</si>
  <si>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</si>
  <si>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</si>
  <si>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</si>
  <si>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</si>
  <si>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</si>
  <si>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</si>
  <si>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</si>
  <si>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</si>
  <si>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</si>
  <si>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</si>
  <si>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</si>
  <si>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</si>
  <si>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</si>
  <si>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</si>
  <si>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</si>
  <si>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</si>
  <si>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</si>
  <si>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</si>
  <si>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</si>
  <si>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</si>
  <si>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</si>
  <si>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</si>
  <si>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</si>
  <si>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</si>
  <si>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</si>
  <si>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</si>
  <si>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</si>
  <si>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</si>
  <si>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</si>
  <si>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</si>
  <si>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</si>
  <si>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</si>
  <si>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</si>
  <si>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</si>
  <si>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</si>
  <si>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</si>
  <si>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</si>
  <si>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</si>
  <si>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</si>
  <si>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</si>
  <si>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</si>
  <si>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</si>
  <si>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</si>
  <si>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</si>
  <si>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</si>
  <si>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</si>
  <si>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</si>
  <si>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</si>
  <si>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</si>
  <si>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</si>
  <si>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</si>
  <si>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</si>
  <si>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</si>
  <si>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</si>
  <si>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</si>
  <si>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</si>
  <si>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</si>
  <si>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</si>
  <si>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</si>
  <si>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</si>
  <si>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</si>
  <si>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</si>
  <si>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</si>
  <si>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</si>
  <si>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</si>
  <si>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</si>
  <si>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</si>
  <si>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</si>
  <si>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</si>
  <si>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</si>
  <si>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</si>
  <si>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</si>
  <si>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</si>
  <si>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</si>
  <si>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</si>
  <si>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</si>
  <si>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</si>
  <si>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</si>
  <si>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</si>
  <si>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</si>
  <si>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</si>
  <si>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</si>
  <si>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</si>
  <si>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</si>
  <si>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</si>
  <si>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</si>
  <si>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</si>
  <si>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</si>
  <si>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</si>
  <si>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</si>
  <si>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</si>
  <si>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</si>
  <si>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</si>
  <si>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</si>
  <si>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</si>
  <si>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</si>
  <si>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</si>
  <si>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</si>
  <si>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</si>
  <si>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</si>
  <si>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</si>
  <si>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</si>
  <si>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</si>
  <si>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</si>
  <si>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</si>
  <si>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</si>
  <si>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</si>
  <si>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</si>
  <si>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</si>
  <si>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</si>
  <si>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</si>
  <si>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</si>
  <si>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</si>
  <si>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</si>
  <si>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</si>
  <si>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</si>
  <si>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</si>
  <si>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</si>
  <si>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</si>
  <si>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</si>
  <si>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</si>
  <si>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</si>
  <si>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</si>
  <si>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</si>
  <si>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</si>
  <si>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</si>
  <si>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</si>
  <si>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</si>
  <si>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</si>
  <si>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</si>
  <si>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</si>
  <si>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</si>
  <si>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</si>
  <si>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</si>
  <si>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</si>
  <si>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</si>
  <si>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</si>
  <si>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</si>
  <si>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</si>
  <si>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</si>
  <si>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</si>
  <si>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</si>
  <si>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</si>
  <si>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</si>
  <si>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</si>
  <si>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</si>
  <si>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</si>
  <si>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</si>
  <si>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</si>
  <si>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</si>
  <si>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</si>
  <si>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</si>
  <si>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</si>
  <si>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</si>
  <si>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</si>
  <si>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</si>
  <si>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</si>
  <si>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</si>
  <si>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</si>
  <si>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</si>
  <si>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</si>
  <si>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</si>
  <si>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</si>
  <si>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</si>
  <si>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</si>
  <si>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</si>
  <si>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</si>
  <si>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</si>
  <si>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</si>
  <si>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</si>
  <si>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</si>
  <si>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</si>
  <si>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</si>
  <si>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</si>
  <si>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</si>
  <si>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</si>
  <si>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</si>
  <si>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</si>
  <si>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</si>
  <si>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</si>
  <si>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</si>
  <si>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</si>
  <si>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</si>
  <si>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</si>
  <si>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</si>
  <si>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</si>
  <si>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</si>
  <si>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</si>
  <si>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</si>
  <si>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</si>
  <si>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</si>
  <si>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</si>
  <si>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</si>
  <si>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</si>
  <si>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</si>
  <si>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</si>
  <si>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</si>
  <si>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</si>
  <si>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</si>
  <si>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</si>
  <si>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</si>
  <si>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</si>
  <si>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</si>
  <si>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</si>
  <si>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</si>
  <si>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</si>
  <si>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</si>
  <si>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</si>
  <si>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</si>
  <si>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</si>
  <si>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</si>
  <si>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</si>
  <si>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</si>
  <si>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</si>
  <si>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</si>
  <si>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</si>
  <si>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</si>
  <si>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</si>
  <si>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</si>
  <si>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</si>
  <si>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</si>
  <si>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</si>
  <si>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</si>
  <si>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</si>
  <si>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</si>
  <si>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</si>
  <si>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</si>
  <si>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</si>
  <si>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</si>
  <si>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</si>
  <si>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</si>
  <si>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</si>
  <si>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</si>
  <si>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</si>
  <si>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</si>
  <si>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</si>
  <si>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</si>
  <si>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</si>
  <si>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</si>
  <si>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</si>
  <si>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</si>
  <si>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</si>
  <si>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</si>
  <si>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</si>
  <si>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</si>
  <si>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</si>
  <si>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</si>
  <si>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</si>
  <si>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</si>
  <si>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</si>
  <si>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</si>
  <si>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</si>
  <si>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</si>
  <si>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</si>
  <si>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</si>
  <si>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</si>
  <si>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</si>
  <si>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</si>
  <si>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</si>
  <si>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</si>
  <si>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</si>
  <si>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</si>
  <si>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</si>
  <si>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</si>
  <si>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</si>
  <si>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</si>
  <si>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</si>
  <si>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</si>
  <si>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</si>
  <si>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</si>
  <si>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</si>
  <si>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</si>
  <si>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</si>
  <si>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</si>
  <si>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</si>
  <si>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</si>
  <si>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</si>
  <si>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</si>
  <si>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</si>
  <si>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</si>
  <si>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</si>
  <si>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</si>
  <si>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</si>
  <si>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</si>
  <si>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</si>
  <si>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</si>
  <si>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</si>
  <si>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</si>
  <si>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</si>
  <si>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</si>
  <si>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</si>
  <si>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</si>
  <si>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</si>
  <si>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</si>
  <si>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</si>
  <si>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</si>
  <si>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</si>
  <si>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</si>
  <si>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</si>
  <si>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</si>
  <si>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</si>
  <si>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</si>
  <si>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</si>
  <si>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</si>
  <si>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</si>
  <si>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</si>
  <si>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</si>
  <si>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</si>
  <si>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</si>
  <si>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</si>
  <si>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</si>
  <si>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</si>
  <si>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</si>
  <si>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</si>
  <si>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</si>
  <si>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</si>
  <si>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</si>
  <si>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</si>
  <si>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</si>
  <si>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</si>
  <si>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</si>
  <si>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</si>
  <si>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</si>
  <si>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</si>
  <si>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</si>
  <si>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</si>
  <si>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</si>
  <si>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</si>
  <si>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</si>
  <si>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</si>
  <si>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</si>
  <si>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</si>
  <si>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</si>
  <si>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</si>
  <si>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</si>
  <si>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</si>
  <si>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</si>
  <si>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</si>
  <si>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</si>
  <si>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</si>
  <si>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</si>
  <si>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</si>
  <si>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</si>
  <si>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</si>
  <si>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</si>
  <si>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</si>
  <si>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</si>
  <si>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</si>
  <si>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</si>
  <si>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</si>
  <si>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</si>
  <si>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</si>
  <si>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</si>
  <si>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</si>
  <si>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</si>
  <si>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</si>
  <si>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</si>
  <si>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</si>
  <si>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</si>
  <si>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</si>
  <si>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</si>
  <si>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</si>
  <si>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</si>
  <si>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</si>
  <si>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</si>
  <si>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</si>
  <si>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</si>
  <si>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</si>
  <si>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</si>
  <si>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</si>
  <si>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</si>
  <si>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</si>
  <si>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</si>
  <si>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</si>
  <si>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</si>
  <si>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</si>
  <si>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</si>
  <si>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</si>
  <si>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</si>
  <si>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</si>
  <si>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</si>
  <si>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</si>
  <si>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</si>
  <si>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</si>
  <si>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</si>
  <si>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</si>
  <si>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</si>
  <si>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</si>
  <si>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</si>
  <si>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</si>
  <si>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</si>
  <si>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</si>
  <si>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</si>
  <si>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</si>
  <si>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</si>
  <si>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</si>
  <si>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</si>
  <si>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</si>
  <si>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</si>
  <si>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</si>
  <si>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</si>
  <si>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</si>
  <si>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</si>
  <si>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</si>
  <si>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</si>
  <si>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</si>
  <si>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</si>
  <si>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</si>
  <si>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</si>
  <si>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</si>
  <si>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</si>
  <si>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</si>
  <si>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</si>
  <si>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</si>
  <si>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</si>
  <si>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</si>
  <si>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</si>
  <si>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</si>
  <si>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</si>
  <si>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</si>
  <si>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</si>
  <si>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</si>
  <si>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</si>
  <si>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</si>
  <si>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</si>
  <si>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</si>
  <si>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</si>
  <si>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</si>
  <si>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</si>
  <si>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</si>
  <si>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</si>
  <si>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</si>
  <si>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</si>
  <si>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</si>
  <si>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</si>
  <si>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</si>
  <si>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</si>
  <si>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</si>
  <si>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</si>
  <si>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</si>
  <si>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</si>
  <si>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</si>
  <si>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</si>
  <si>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</si>
  <si>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</si>
  <si>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</si>
  <si>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</si>
  <si>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</si>
  <si>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</si>
  <si>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</si>
  <si>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</si>
  <si>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</si>
  <si>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</si>
  <si>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</si>
  <si>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</si>
  <si>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</si>
  <si>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</si>
  <si>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</si>
  <si>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</si>
  <si>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</si>
  <si>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</si>
  <si>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</si>
  <si>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</si>
  <si>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</si>
  <si>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</si>
  <si>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</si>
  <si>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</si>
  <si>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</si>
  <si>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</si>
  <si>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</si>
  <si>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</si>
  <si>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</si>
  <si>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</si>
  <si>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</si>
  <si>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</si>
  <si>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</si>
  <si>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</si>
  <si>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</si>
  <si>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</si>
  <si>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</si>
  <si>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</si>
  <si>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</si>
  <si>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</si>
  <si>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</si>
  <si>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</si>
  <si>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</si>
  <si>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</si>
  <si>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</si>
  <si>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</si>
  <si>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</si>
  <si>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</si>
  <si>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</si>
  <si>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</si>
  <si>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</si>
  <si>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</si>
  <si>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</si>
  <si>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</si>
  <si>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</si>
  <si>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</si>
  <si>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</si>
  <si>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</si>
  <si>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</si>
  <si>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</si>
  <si>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</si>
  <si>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</si>
  <si>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</si>
  <si>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</si>
  <si>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</si>
  <si>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</si>
  <si>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</si>
  <si>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</si>
  <si>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</si>
  <si>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</si>
  <si>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</si>
  <si>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</si>
  <si>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</si>
  <si>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</si>
  <si>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</si>
  <si>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</si>
  <si>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</si>
  <si>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</si>
  <si>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</si>
  <si>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</si>
  <si>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</si>
  <si>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</si>
  <si>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</si>
  <si>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</si>
  <si>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</si>
  <si>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</si>
  <si>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</si>
  <si>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</si>
  <si>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</si>
  <si>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</si>
  <si>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</si>
  <si>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</si>
  <si>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</si>
  <si>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</si>
  <si>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</si>
  <si>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</si>
  <si>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</si>
  <si>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</si>
  <si>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</si>
  <si>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</si>
  <si>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</si>
  <si>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</si>
  <si>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</si>
  <si>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</si>
  <si>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</si>
  <si>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</si>
  <si>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</si>
  <si>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</si>
  <si>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</si>
  <si>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</si>
  <si>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</si>
  <si>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</si>
  <si>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</si>
  <si>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</si>
  <si>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</si>
  <si>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</si>
  <si>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</si>
  <si>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</si>
  <si>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</si>
  <si>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</si>
  <si>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</si>
  <si>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</si>
  <si>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</si>
  <si>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</si>
  <si>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</si>
  <si>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</si>
  <si>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</si>
  <si>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</si>
  <si>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</si>
  <si>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</si>
  <si>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</si>
  <si>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</si>
  <si>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</si>
  <si>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</si>
  <si>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</si>
  <si>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</si>
  <si>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</si>
  <si>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</si>
  <si>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</si>
  <si>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</si>
  <si>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</si>
  <si>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</si>
  <si>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</si>
  <si>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</si>
  <si>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</si>
  <si>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</si>
  <si>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</si>
  <si>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</si>
  <si>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</si>
  <si>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</si>
  <si>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</si>
  <si>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</si>
  <si>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</si>
  <si>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</si>
  <si>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</si>
  <si>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</si>
  <si>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</si>
  <si>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</si>
  <si>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</si>
  <si>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</si>
  <si>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</si>
  <si>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</si>
  <si>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</si>
  <si>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</si>
  <si>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</si>
  <si>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</si>
  <si>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</si>
  <si>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</si>
  <si>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</si>
  <si>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</si>
  <si>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</si>
  <si>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</si>
  <si>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</si>
  <si>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</si>
  <si>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</si>
  <si>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</si>
  <si>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</si>
  <si>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</si>
  <si>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</si>
  <si>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</si>
  <si>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</si>
  <si>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</si>
  <si>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</si>
  <si>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</si>
  <si>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</si>
  <si>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</si>
  <si>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</si>
  <si>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</si>
  <si>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</si>
  <si>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</si>
  <si>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</si>
  <si>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</si>
  <si>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</si>
  <si>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</si>
  <si>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</si>
  <si>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</si>
  <si>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</si>
  <si>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</si>
  <si>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</si>
  <si>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</si>
  <si>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</si>
  <si>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</si>
  <si>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</si>
  <si>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</si>
  <si>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</si>
  <si>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</si>
  <si>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</si>
  <si>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</si>
  <si>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</si>
  <si>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</si>
  <si>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</si>
  <si>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</si>
  <si>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</si>
  <si>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</si>
  <si>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</si>
  <si>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</si>
  <si>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</si>
  <si>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</si>
  <si>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</si>
  <si>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</si>
  <si>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</si>
  <si>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</si>
  <si>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</si>
  <si>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</si>
  <si>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</si>
  <si>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</si>
  <si>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</si>
  <si>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</si>
  <si>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</si>
  <si>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</si>
  <si>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</si>
  <si>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</si>
  <si>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</si>
  <si>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</si>
  <si>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</si>
  <si>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</si>
  <si>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</si>
  <si>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</si>
  <si>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</si>
  <si>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</si>
  <si>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</si>
  <si>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</si>
  <si>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</si>
  <si>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</si>
  <si>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</si>
  <si>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</si>
  <si>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</si>
  <si>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</si>
  <si>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</si>
  <si>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</si>
  <si>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</si>
  <si>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</si>
  <si>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</si>
  <si>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</si>
  <si>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</si>
  <si>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</si>
  <si>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</si>
  <si>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</si>
  <si>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</si>
  <si>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</si>
  <si>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</si>
  <si>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</si>
  <si>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</si>
  <si>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</si>
  <si>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</si>
  <si>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</si>
  <si>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</si>
  <si>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</si>
  <si>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</si>
  <si>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</si>
  <si>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</si>
  <si>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</si>
  <si>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</si>
  <si>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</si>
  <si>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</si>
  <si>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</si>
  <si>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</si>
  <si>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</si>
  <si>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</si>
  <si>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</si>
  <si>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</si>
  <si>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</si>
  <si>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</si>
  <si>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</si>
  <si>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</si>
  <si>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</si>
  <si>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</si>
  <si>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</si>
  <si>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</si>
  <si>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</si>
  <si>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</si>
  <si>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</si>
  <si>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</si>
  <si>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</si>
  <si>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</si>
  <si>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</si>
  <si>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</si>
  <si>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</si>
  <si>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</si>
  <si>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</si>
  <si>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</si>
  <si>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</si>
  <si>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</si>
  <si>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</si>
  <si>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</si>
  <si>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</si>
  <si>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</si>
  <si>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</si>
  <si>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</si>
  <si>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</si>
  <si>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</si>
  <si>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</si>
  <si>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</si>
  <si>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</si>
  <si>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</si>
  <si>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</si>
  <si>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</si>
  <si>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</si>
  <si>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</si>
  <si>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</si>
  <si>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</si>
  <si>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</si>
  <si>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</si>
  <si>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</si>
  <si>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</si>
  <si>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</si>
  <si>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</si>
  <si>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</si>
  <si>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</si>
  <si>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</si>
  <si>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</si>
  <si>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</si>
  <si>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</si>
  <si>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</si>
  <si>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</si>
  <si>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</si>
  <si>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</si>
  <si>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</si>
  <si>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</si>
  <si>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</si>
  <si>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</si>
  <si>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</si>
  <si>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</si>
  <si>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</si>
  <si>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</si>
  <si>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</si>
  <si>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</si>
  <si>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</si>
  <si>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</si>
  <si>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</si>
  <si>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</si>
  <si>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</si>
  <si>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</si>
  <si>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</si>
  <si>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</si>
  <si>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</si>
  <si>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</si>
  <si>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</si>
  <si>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</si>
  <si>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</si>
  <si>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</si>
  <si>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</si>
  <si>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</si>
  <si>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</si>
  <si>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</si>
  <si>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</si>
  <si>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</si>
  <si>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</si>
  <si>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</si>
  <si>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</si>
  <si>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</si>
  <si>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</si>
  <si>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</si>
  <si>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</si>
  <si>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</si>
  <si>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</si>
  <si>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</si>
  <si>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</si>
  <si>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</si>
  <si>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</si>
  <si>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</si>
  <si>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</si>
  <si>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</si>
  <si>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</si>
  <si>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</si>
  <si>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</si>
  <si>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</si>
  <si>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</si>
  <si>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</si>
  <si>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</si>
  <si>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</si>
  <si>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</si>
  <si>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</si>
  <si>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</si>
  <si>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</si>
  <si>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</si>
  <si>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</si>
  <si>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</si>
  <si>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</si>
  <si>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</si>
  <si>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</si>
  <si>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</si>
  <si>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</si>
  <si>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</si>
  <si>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</si>
  <si>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</si>
  <si>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</si>
  <si>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</si>
  <si>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</si>
  <si>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</si>
  <si>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</si>
  <si>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</si>
  <si>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</si>
  <si>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</si>
  <si>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</si>
  <si>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</si>
  <si>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</si>
  <si>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</si>
  <si>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</si>
  <si>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</si>
  <si>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</si>
  <si>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</si>
  <si>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</si>
  <si>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</si>
  <si>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</si>
  <si>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</si>
  <si>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</si>
  <si>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</si>
  <si>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</si>
  <si>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</si>
  <si>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</si>
  <si>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</si>
  <si>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</si>
  <si>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</si>
  <si>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</si>
  <si>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</si>
  <si>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</si>
  <si>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</si>
  <si>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</si>
  <si>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</si>
  <si>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</si>
  <si>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</si>
  <si>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</si>
  <si>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</si>
  <si>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</si>
  <si>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</si>
  <si>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</si>
  <si>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</si>
  <si>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</si>
  <si>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</si>
  <si>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</si>
  <si>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</si>
  <si>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</si>
  <si>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</si>
  <si>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</si>
  <si>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</si>
  <si>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</si>
  <si>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</si>
  <si>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</si>
  <si>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</si>
  <si>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</si>
  <si>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</si>
  <si>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</si>
  <si>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</si>
  <si>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</si>
  <si>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</si>
  <si>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</si>
  <si>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</si>
  <si>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</si>
  <si>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</si>
  <si>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</si>
  <si>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</si>
  <si>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</si>
  <si>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</si>
  <si>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</si>
  <si>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</si>
  <si>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</si>
  <si>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</si>
  <si>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</si>
  <si>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</si>
  <si>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</si>
  <si>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</si>
  <si>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</si>
  <si>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</si>
  <si>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</si>
  <si>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</si>
  <si>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</si>
  <si>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</si>
  <si>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</si>
  <si>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</si>
  <si>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</si>
  <si>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</si>
  <si>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</si>
  <si>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</si>
  <si>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</si>
  <si>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</si>
  <si>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</si>
  <si>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</si>
  <si>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</si>
  <si>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</si>
  <si>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</si>
  <si>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</si>
  <si>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</si>
  <si>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</si>
  <si>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</si>
  <si>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</si>
  <si>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</si>
  <si>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</si>
  <si>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</si>
  <si>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</si>
  <si>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</si>
  <si>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</si>
  <si>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</si>
  <si>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</si>
  <si>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</si>
  <si>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</si>
  <si>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</si>
  <si>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</si>
  <si>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</si>
  <si>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</si>
  <si>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</si>
  <si>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</si>
  <si>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</si>
  <si>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</si>
  <si>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</si>
  <si>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</si>
  <si>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</si>
  <si>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</si>
  <si>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</si>
  <si>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</si>
  <si>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</si>
  <si>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</si>
  <si>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</si>
  <si>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</si>
  <si>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</si>
  <si>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</si>
  <si>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</si>
  <si>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</si>
  <si>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</si>
  <si>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</si>
  <si>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</si>
  <si>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</si>
  <si>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</si>
  <si>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</si>
  <si>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</si>
  <si>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</si>
  <si>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</si>
  <si>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</si>
  <si>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</si>
  <si>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</si>
  <si>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</si>
  <si>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</si>
  <si>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</si>
  <si>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</si>
  <si>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</si>
  <si>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</si>
  <si>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</si>
  <si>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</si>
  <si>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</si>
  <si>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</si>
  <si>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</si>
  <si>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</si>
  <si>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</si>
  <si>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</si>
  <si>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</si>
  <si>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</si>
  <si>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</si>
  <si>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</si>
  <si>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</si>
  <si>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</si>
  <si>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</si>
  <si>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</si>
  <si>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</si>
  <si>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</si>
  <si>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</si>
  <si>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</si>
  <si>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</si>
  <si>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</si>
  <si>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</si>
  <si>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</si>
  <si>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</si>
  <si>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</si>
  <si>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</si>
  <si>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</si>
  <si>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</si>
  <si>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</si>
  <si>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</si>
  <si>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</si>
  <si>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</si>
  <si>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</si>
  <si>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</si>
  <si>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</si>
  <si>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</si>
  <si>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</si>
  <si>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</si>
  <si>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</si>
  <si>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</si>
  <si>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</si>
  <si>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</si>
  <si>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</si>
  <si>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</si>
  <si>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</si>
  <si>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</si>
  <si>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</si>
  <si>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</si>
  <si>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</si>
  <si>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</si>
  <si>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</si>
  <si>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</si>
  <si>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</si>
  <si>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</si>
  <si>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</si>
  <si>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</si>
  <si>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</si>
  <si>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</si>
  <si>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</si>
  <si>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</si>
  <si>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</si>
  <si>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</si>
  <si>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</si>
  <si>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</si>
  <si>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</si>
  <si>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</si>
  <si>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</si>
  <si>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</si>
  <si>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</si>
  <si>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</si>
  <si>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</si>
  <si>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</si>
  <si>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</si>
  <si>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</si>
  <si>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</si>
  <si>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</si>
  <si>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</si>
  <si>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</si>
  <si>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</si>
  <si>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</si>
  <si>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</si>
  <si>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</si>
  <si>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</si>
  <si>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</si>
  <si>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</si>
  <si>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</si>
  <si>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</si>
  <si>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</si>
  <si>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</si>
  <si>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</si>
  <si>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</si>
  <si>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</si>
  <si>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</si>
  <si>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</si>
  <si>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</si>
  <si>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</si>
  <si>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</si>
  <si>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</si>
  <si>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</si>
  <si>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</si>
  <si>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</si>
  <si>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</si>
  <si>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</si>
  <si>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</si>
  <si>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</si>
  <si>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</si>
  <si>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</si>
  <si>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</si>
  <si>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</si>
  <si>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</si>
  <si>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</si>
  <si>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</si>
  <si>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</si>
  <si>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</si>
  <si>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</si>
  <si>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</si>
  <si>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</si>
  <si>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</si>
  <si>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</si>
  <si>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</si>
  <si>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</si>
  <si>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</si>
  <si>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</si>
  <si>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</si>
  <si>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</si>
  <si>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</si>
  <si>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</si>
  <si>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</si>
  <si>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</si>
  <si>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</si>
  <si>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</si>
  <si>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</si>
  <si>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</si>
  <si>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</si>
  <si>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</si>
  <si>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</si>
  <si>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</si>
  <si>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</si>
  <si>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</si>
  <si>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</si>
  <si>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</si>
  <si>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</si>
  <si>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</si>
  <si>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</si>
  <si>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</si>
  <si>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</si>
  <si>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</si>
  <si>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</si>
  <si>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</si>
  <si>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</si>
  <si>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</si>
  <si>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</si>
  <si>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</si>
  <si>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</si>
  <si>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</si>
  <si>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</si>
  <si>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</si>
  <si>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</si>
  <si>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</si>
  <si>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</si>
  <si>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</si>
  <si>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</si>
  <si>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</si>
  <si>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</si>
  <si>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</si>
  <si>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</si>
  <si>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</si>
  <si>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</si>
  <si>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</si>
  <si>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</si>
  <si>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</si>
  <si>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</si>
  <si>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</si>
  <si>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</si>
  <si>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</si>
  <si>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</si>
  <si>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</si>
  <si>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</si>
  <si>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</si>
  <si>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</si>
  <si>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</si>
  <si>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</si>
  <si>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</si>
  <si>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</si>
  <si>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</si>
  <si>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</si>
  <si>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</si>
  <si>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</si>
  <si>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</si>
  <si>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</si>
  <si>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</si>
  <si>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</si>
  <si>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</si>
  <si>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</si>
  <si>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</si>
  <si>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</si>
  <si>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</si>
  <si>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</si>
  <si>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</si>
  <si>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</si>
  <si>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</si>
  <si>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</si>
  <si>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</si>
  <si>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</si>
  <si>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</si>
  <si>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</si>
  <si>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</si>
  <si>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</si>
  <si>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</si>
  <si>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</si>
  <si>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</si>
  <si>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</si>
  <si>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</si>
  <si>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</si>
  <si>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</si>
  <si>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</si>
  <si>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</si>
  <si>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</si>
  <si>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</si>
  <si>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</si>
  <si>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</si>
  <si>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</si>
  <si>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</si>
  <si>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</si>
  <si>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</si>
  <si>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</si>
  <si>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</si>
  <si>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</si>
  <si>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</si>
  <si>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</si>
  <si>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</si>
  <si>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</si>
  <si>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</si>
  <si>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</si>
  <si>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</si>
  <si>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</si>
  <si>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</si>
  <si>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</si>
  <si>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</si>
  <si>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</si>
  <si>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</si>
  <si>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</si>
  <si>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</si>
  <si>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</si>
  <si>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</si>
  <si>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</si>
  <si>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</si>
  <si>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</si>
  <si>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</si>
  <si>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</si>
  <si>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</si>
  <si>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</si>
  <si>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</si>
  <si>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</si>
  <si>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</si>
  <si>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</si>
  <si>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</si>
  <si>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</si>
  <si>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</si>
  <si>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</si>
  <si>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</si>
  <si>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</si>
  <si>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</si>
  <si>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</si>
  <si>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</si>
  <si>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</si>
  <si>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</si>
  <si>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</si>
  <si>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</si>
  <si>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</si>
  <si>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</si>
  <si>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</si>
  <si>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</si>
  <si>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</si>
  <si>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</si>
  <si>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</si>
  <si>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</si>
  <si>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</si>
  <si>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</si>
  <si>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</si>
  <si>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</si>
  <si>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</si>
  <si>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</si>
  <si>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</si>
  <si>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</si>
  <si>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</si>
  <si>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</si>
  <si>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</si>
  <si>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</si>
  <si>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</si>
  <si>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</si>
  <si>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</si>
  <si>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</si>
  <si>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</si>
  <si>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</si>
  <si>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</si>
  <si>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</si>
  <si>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</si>
  <si>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</si>
  <si>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</si>
  <si>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</si>
  <si>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</si>
  <si>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</si>
  <si>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</si>
  <si>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</si>
  <si>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</si>
  <si>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</si>
  <si>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</si>
  <si>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</si>
  <si>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</si>
  <si>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</si>
  <si>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</si>
  <si>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</si>
  <si>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</si>
  <si>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</si>
  <si>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</si>
  <si>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</si>
  <si>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</si>
  <si>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</si>
  <si>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</si>
  <si>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</si>
  <si>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</si>
  <si>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</si>
  <si>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</si>
  <si>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</si>
  <si>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</si>
  <si>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</si>
  <si>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</si>
  <si>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</si>
  <si>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</si>
  <si>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</si>
  <si>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</si>
  <si>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</si>
  <si>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</si>
  <si>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</si>
  <si>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</si>
  <si>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</si>
  <si>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</si>
  <si>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</si>
  <si>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</si>
  <si>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</si>
  <si>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</si>
  <si>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</si>
  <si>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</si>
  <si>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</si>
  <si>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</si>
  <si>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</si>
  <si>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</si>
  <si>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</si>
  <si>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</si>
  <si>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</si>
  <si>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</si>
  <si>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</si>
  <si>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</si>
  <si>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</si>
  <si>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</si>
  <si>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</si>
  <si>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</si>
  <si>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</si>
  <si>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</si>
  <si>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</si>
  <si>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</si>
  <si>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</si>
  <si>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</si>
  <si>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</si>
  <si>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</si>
  <si>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</si>
  <si>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</si>
  <si>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</si>
  <si>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</si>
  <si>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</si>
  <si>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</si>
  <si>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</si>
  <si>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</si>
  <si>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</si>
  <si>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</si>
  <si>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</si>
  <si>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</si>
  <si>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</si>
  <si>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</si>
  <si>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</si>
  <si>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</si>
  <si>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</si>
  <si>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</si>
  <si>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</si>
  <si>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</si>
  <si>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</si>
  <si>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</si>
  <si>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</si>
  <si>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</si>
  <si>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</si>
  <si>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</si>
  <si>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</si>
  <si>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</si>
  <si>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</si>
  <si>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</si>
  <si>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</si>
  <si>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</si>
  <si>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</si>
  <si>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</si>
  <si>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</si>
  <si>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</si>
  <si>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</si>
  <si>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</si>
  <si>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</si>
  <si>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</si>
  <si>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</si>
  <si>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</si>
  <si>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</si>
  <si>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</si>
  <si>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</si>
  <si>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</si>
  <si>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</si>
  <si>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</si>
  <si>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</si>
  <si>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</si>
  <si>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</si>
  <si>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</si>
  <si>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</si>
  <si>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</si>
  <si>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</si>
  <si>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</si>
  <si>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</si>
  <si>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</si>
  <si>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</si>
  <si>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</si>
  <si>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</si>
  <si>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</si>
  <si>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</si>
  <si>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</si>
  <si>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</si>
  <si>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</si>
  <si>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</si>
  <si>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</si>
  <si>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</si>
  <si>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</si>
  <si>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</si>
  <si>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</si>
  <si>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</si>
  <si>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</si>
  <si>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</si>
  <si>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</si>
  <si>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</si>
  <si>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</si>
  <si>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</si>
  <si>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</si>
  <si>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</si>
  <si>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</si>
  <si>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</si>
  <si>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</si>
  <si>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</si>
  <si>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</si>
  <si>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</si>
  <si>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</si>
  <si>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</si>
  <si>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</si>
  <si>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</si>
  <si>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</si>
  <si>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</si>
  <si>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</si>
  <si>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</si>
  <si>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</si>
  <si>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</si>
  <si>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</si>
  <si>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</si>
  <si>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</si>
  <si>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</si>
  <si>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</si>
  <si>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</si>
  <si>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</si>
  <si>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</si>
  <si>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</si>
  <si>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</si>
  <si>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</si>
  <si>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</si>
  <si>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</si>
  <si>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</si>
  <si>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</si>
  <si>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</si>
  <si>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</si>
  <si>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</si>
  <si>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</si>
  <si>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</si>
  <si>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</si>
  <si>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</si>
  <si>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</si>
  <si>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</si>
  <si>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</si>
  <si>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</si>
  <si>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</si>
  <si>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</si>
  <si>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</si>
  <si>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</si>
  <si>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</si>
  <si>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</si>
  <si>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</si>
  <si>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</si>
  <si>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</si>
  <si>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</si>
  <si>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</si>
  <si>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</si>
  <si>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</si>
  <si>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</si>
  <si>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</si>
  <si>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</si>
  <si>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</si>
  <si>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</si>
  <si>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</si>
  <si>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</si>
  <si>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</si>
  <si>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</si>
  <si>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</si>
  <si>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</si>
  <si>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</si>
  <si>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</si>
  <si>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</si>
  <si>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</si>
  <si>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</si>
  <si>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</si>
  <si>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</si>
  <si>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</si>
  <si>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</si>
  <si>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</si>
  <si>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</si>
  <si>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</si>
  <si>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</si>
  <si>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</si>
  <si>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</si>
  <si>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</si>
  <si>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</si>
  <si>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</si>
  <si>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</si>
  <si>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</si>
  <si>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</si>
  <si>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</si>
  <si>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</si>
  <si>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</si>
  <si>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</si>
  <si>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</si>
  <si>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</si>
  <si>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</si>
  <si>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</si>
  <si>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</si>
  <si>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</si>
  <si>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</si>
  <si>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</si>
  <si>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</si>
  <si>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</si>
  <si>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</si>
  <si>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</si>
  <si>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</si>
  <si>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</si>
  <si>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</si>
  <si>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</si>
  <si>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</si>
  <si>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</si>
  <si>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</si>
  <si>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</si>
  <si>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</si>
  <si>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</si>
  <si>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</si>
  <si>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</si>
  <si>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</si>
  <si>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</si>
  <si>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</si>
  <si>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</si>
  <si>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</si>
  <si>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</si>
  <si>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</si>
  <si>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</si>
  <si>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</si>
  <si>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</si>
  <si>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</si>
  <si>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</si>
  <si>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</si>
  <si>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</si>
  <si>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</si>
  <si>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</si>
  <si>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</si>
  <si>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</si>
  <si>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</si>
  <si>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</si>
  <si>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</si>
  <si>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</si>
  <si>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</si>
  <si>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</si>
  <si>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</si>
  <si>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</si>
  <si>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</si>
  <si>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</si>
  <si>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</si>
  <si>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</si>
  <si>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</si>
  <si>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</si>
  <si>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</si>
  <si>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</si>
  <si>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</si>
  <si>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</si>
  <si>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</si>
  <si>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</si>
  <si>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</si>
  <si>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</si>
  <si>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</si>
  <si>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</si>
  <si>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</si>
  <si>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</si>
  <si>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</si>
  <si>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</si>
  <si>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</si>
  <si>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</si>
  <si>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</si>
  <si>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</si>
  <si>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</si>
  <si>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</si>
  <si>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</si>
  <si>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</si>
  <si>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</si>
  <si>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</si>
  <si>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</si>
  <si>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</si>
  <si>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</si>
  <si>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</si>
  <si>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</si>
  <si>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</si>
  <si>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</si>
  <si>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</si>
  <si>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</si>
  <si>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</si>
  <si>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</si>
  <si>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</si>
  <si>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</si>
  <si>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</si>
  <si>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</si>
  <si>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</si>
  <si>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</si>
  <si>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</si>
  <si>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</si>
  <si>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</si>
  <si>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</si>
  <si>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</si>
  <si>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</si>
  <si>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</si>
  <si>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</si>
  <si>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</si>
  <si>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</si>
  <si>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</si>
  <si>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</si>
  <si>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</si>
  <si>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</si>
  <si>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</si>
  <si>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</si>
  <si>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</si>
  <si>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</si>
  <si>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</si>
  <si>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</si>
  <si>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</si>
  <si>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</si>
  <si>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</si>
  <si>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</si>
  <si>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</si>
  <si>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</si>
  <si>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</si>
  <si>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</si>
  <si>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</si>
  <si>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</si>
  <si>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</si>
  <si>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</si>
  <si>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</si>
  <si>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</si>
  <si>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</si>
  <si>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</si>
  <si>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</si>
  <si>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</si>
  <si>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</si>
  <si>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</si>
  <si>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</si>
  <si>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</si>
  <si>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</si>
  <si>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</si>
  <si>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</si>
  <si>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</si>
  <si>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</si>
  <si>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</si>
  <si>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</si>
  <si>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</si>
  <si>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</si>
  <si>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</si>
  <si>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</si>
  <si>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</si>
  <si>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</si>
  <si>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</si>
  <si>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</si>
  <si>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</si>
  <si>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</si>
  <si>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</si>
  <si>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</si>
  <si>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</si>
  <si>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</si>
  <si>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</si>
  <si>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</si>
  <si>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</si>
  <si>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</si>
  <si>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</si>
  <si>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</si>
  <si>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</si>
  <si>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</si>
  <si>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</si>
  <si>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</si>
  <si>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</si>
  <si>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</si>
  <si>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</si>
  <si>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</si>
  <si>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</si>
  <si>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</si>
  <si>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</si>
  <si>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</si>
  <si>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</si>
  <si>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</si>
  <si>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</si>
  <si>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</si>
  <si>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</si>
  <si>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</si>
  <si>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</si>
  <si>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</si>
  <si>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</si>
  <si>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</si>
  <si>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</si>
  <si>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</si>
  <si>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</si>
  <si>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</si>
  <si>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</si>
  <si>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</si>
  <si>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</si>
  <si>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</si>
  <si>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</si>
  <si>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</si>
  <si>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</si>
  <si>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</si>
  <si>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</si>
  <si>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</si>
  <si>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</si>
  <si>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</si>
  <si>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</si>
  <si>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</si>
  <si>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</si>
  <si>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</si>
  <si>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</si>
  <si>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</si>
  <si>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</si>
  <si>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</si>
  <si>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</si>
  <si>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</si>
  <si>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</si>
  <si>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</si>
  <si>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</si>
  <si>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</si>
  <si>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</si>
  <si>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</si>
  <si>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</si>
  <si>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</si>
  <si>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</si>
  <si>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</si>
  <si>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</si>
  <si>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</si>
  <si>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</si>
  <si>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</si>
  <si>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</si>
  <si>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</si>
  <si>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</si>
  <si>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</si>
  <si>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</si>
  <si>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</si>
  <si>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</si>
  <si>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</si>
  <si>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</si>
  <si>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</si>
  <si>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</si>
  <si>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</si>
  <si>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</si>
  <si>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</si>
  <si>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</si>
  <si>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</si>
  <si>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</si>
  <si>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</si>
  <si>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</si>
  <si>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</si>
  <si>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</si>
  <si>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</si>
  <si>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</si>
  <si>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</si>
  <si>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</si>
  <si>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</si>
  <si>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</si>
  <si>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</si>
  <si>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</si>
  <si>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</si>
  <si>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</si>
  <si>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</si>
  <si>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</si>
  <si>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</si>
  <si>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</si>
  <si>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</si>
  <si>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</si>
  <si>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</si>
  <si>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</si>
  <si>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</si>
  <si>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</si>
  <si>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</si>
  <si>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</si>
  <si>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</si>
  <si>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</si>
  <si>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</si>
  <si>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</si>
  <si>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</si>
  <si>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</si>
  <si>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</si>
  <si>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</si>
  <si>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</si>
  <si>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</si>
  <si>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</si>
  <si>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</si>
  <si>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</si>
  <si>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</si>
  <si>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</si>
  <si>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</si>
  <si>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</si>
  <si>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</si>
  <si>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</si>
  <si>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</si>
  <si>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</si>
  <si>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</si>
  <si>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</si>
  <si>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</si>
  <si>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</si>
  <si>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</si>
  <si>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</si>
  <si>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</si>
  <si>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</si>
  <si>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</si>
  <si>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</si>
  <si>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</si>
  <si>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</si>
  <si>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</si>
  <si>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</si>
  <si>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</si>
  <si>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</si>
  <si>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</si>
  <si>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</si>
  <si>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</si>
  <si>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</si>
  <si>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</si>
  <si>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</si>
  <si>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</si>
  <si>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</si>
  <si>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</si>
  <si>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</si>
  <si>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</si>
  <si>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</si>
  <si>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</si>
  <si>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</si>
  <si>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</si>
  <si>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</si>
  <si>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</si>
  <si>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</si>
  <si>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</si>
  <si>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</si>
  <si>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</si>
  <si>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</si>
  <si>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</si>
  <si>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</si>
  <si>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</si>
  <si>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</si>
  <si>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</si>
  <si>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</si>
  <si>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</si>
  <si>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</si>
  <si>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</si>
  <si>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</si>
  <si>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</si>
  <si>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</si>
  <si>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</si>
  <si>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</si>
  <si>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</si>
  <si>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</si>
  <si>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</si>
  <si>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</si>
  <si>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</si>
  <si>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</si>
  <si>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</si>
  <si>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</si>
  <si>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</si>
  <si>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</si>
  <si>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</si>
  <si>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</si>
  <si>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</si>
  <si>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</si>
  <si>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</si>
  <si>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</si>
  <si>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</si>
  <si>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</si>
  <si>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</si>
  <si>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</si>
  <si>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</si>
  <si>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</si>
  <si>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</si>
  <si>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</si>
  <si>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</si>
  <si>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</si>
  <si>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</si>
  <si>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</si>
  <si>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</si>
  <si>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</si>
  <si>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</si>
  <si>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</si>
  <si>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</si>
  <si>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</si>
  <si>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</si>
  <si>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</si>
  <si>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</si>
  <si>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</si>
  <si>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</si>
  <si>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</si>
  <si>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</si>
  <si>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</si>
  <si>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</si>
  <si>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</si>
  <si>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</si>
  <si>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</si>
  <si>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</si>
  <si>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</si>
  <si>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</si>
  <si>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</si>
  <si>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</si>
  <si>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</si>
  <si>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</si>
  <si>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</si>
  <si>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</si>
  <si>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</si>
  <si>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</si>
  <si>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</si>
  <si>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</si>
  <si>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</si>
  <si>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</si>
  <si>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</si>
  <si>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</si>
  <si>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</si>
  <si>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</si>
  <si>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</si>
  <si>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</si>
  <si>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</si>
  <si>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</si>
  <si>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</si>
  <si>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</si>
  <si>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</si>
  <si>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</si>
  <si>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</si>
  <si>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</si>
  <si>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</si>
  <si>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</si>
  <si>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</si>
  <si>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</si>
  <si>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</si>
  <si>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</si>
  <si>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</si>
  <si>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</si>
  <si>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</si>
  <si>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</si>
  <si>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</si>
  <si>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</si>
  <si>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</si>
  <si>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</si>
  <si>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</si>
  <si>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</si>
  <si>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</si>
  <si>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</si>
  <si>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</si>
  <si>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</si>
  <si>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</si>
  <si>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</si>
  <si>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</si>
  <si>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</si>
  <si>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</si>
  <si>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</si>
  <si>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</si>
  <si>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</si>
  <si>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</si>
  <si>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</si>
  <si>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</si>
  <si>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</si>
  <si>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</si>
  <si>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</si>
  <si>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</si>
  <si>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</si>
  <si>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</si>
  <si>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</si>
  <si>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</si>
  <si>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</si>
  <si>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</si>
  <si>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</si>
  <si>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</si>
  <si>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</si>
  <si>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</si>
  <si>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</si>
  <si>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</si>
  <si>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</si>
  <si>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</si>
  <si>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</si>
  <si>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</si>
  <si>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</si>
  <si>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</si>
  <si>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</si>
  <si>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</si>
  <si>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</si>
  <si>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</si>
  <si>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</si>
  <si>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</si>
  <si>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</si>
  <si>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</si>
  <si>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</si>
  <si>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</si>
  <si>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</si>
  <si>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</si>
  <si>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</si>
  <si>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</si>
  <si>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</si>
  <si>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</si>
  <si>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</si>
  <si>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</si>
  <si>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</si>
  <si>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</si>
  <si>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</si>
  <si>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</si>
  <si>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</si>
  <si>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</si>
  <si>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</si>
  <si>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</si>
  <si>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</si>
  <si>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</si>
  <si>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</si>
  <si>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</si>
  <si>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</si>
  <si>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</si>
  <si>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</si>
  <si>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</si>
  <si>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</si>
  <si>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</si>
  <si>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</si>
  <si>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</si>
  <si>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</si>
  <si>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</si>
  <si>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</si>
  <si>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</si>
  <si>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</si>
  <si>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</si>
  <si>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</si>
  <si>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</si>
  <si>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</si>
  <si>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</si>
  <si>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</si>
  <si>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</si>
  <si>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</si>
  <si>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</si>
  <si>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</si>
  <si>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</si>
  <si>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</si>
  <si>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</si>
  <si>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</si>
  <si>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</si>
  <si>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</si>
  <si>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</si>
  <si>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</si>
  <si>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</si>
  <si>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</si>
  <si>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</si>
  <si>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</si>
  <si>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</si>
  <si>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</si>
  <si>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</si>
  <si>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</si>
  <si>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</si>
  <si>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</si>
  <si>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</si>
  <si>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</si>
  <si>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</si>
  <si>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</si>
  <si>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</si>
  <si>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</si>
  <si>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</si>
  <si>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</si>
  <si>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</si>
  <si>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</si>
  <si>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</si>
  <si>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</si>
  <si>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</si>
  <si>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</si>
  <si>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</si>
  <si>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</si>
  <si>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</si>
  <si>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</si>
  <si>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</si>
  <si>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</si>
  <si>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</si>
  <si>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</si>
  <si>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</si>
  <si>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</si>
  <si>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</si>
  <si>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</si>
  <si>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</si>
  <si>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</si>
  <si>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</si>
  <si>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</si>
  <si>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</si>
  <si>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</si>
  <si>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</si>
  <si>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</si>
  <si>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</si>
  <si>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</si>
  <si>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</si>
  <si>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</si>
  <si>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</si>
  <si>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</si>
  <si>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</si>
  <si>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</si>
  <si>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</si>
  <si>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</si>
  <si>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</si>
  <si>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</si>
  <si>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</si>
  <si>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</si>
  <si>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</si>
  <si>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</si>
  <si>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</si>
  <si>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</si>
  <si>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</si>
  <si>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</si>
  <si>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</si>
  <si>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</si>
  <si>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</si>
  <si>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</si>
  <si>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</si>
  <si>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</si>
  <si>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</si>
  <si>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</si>
  <si>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</si>
  <si>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</si>
  <si>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</si>
  <si>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</si>
  <si>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</si>
  <si>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</si>
  <si>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</si>
  <si>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</si>
  <si>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</si>
  <si>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</si>
  <si>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</si>
  <si>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</si>
  <si>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</si>
  <si>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</si>
  <si>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</si>
  <si>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</si>
  <si>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</si>
  <si>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</si>
  <si>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</si>
  <si>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</si>
  <si>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</si>
  <si>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</si>
  <si>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</si>
  <si>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</si>
  <si>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</si>
  <si>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</si>
  <si>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</si>
  <si>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</si>
  <si>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</si>
  <si>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</si>
  <si>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</si>
  <si>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</si>
  <si>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</si>
  <si>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</si>
  <si>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</si>
  <si>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</si>
  <si>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</si>
  <si>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</si>
  <si>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</si>
  <si>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</si>
  <si>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</si>
  <si>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</si>
  <si>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</si>
  <si>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</si>
  <si>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</si>
  <si>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</si>
  <si>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</si>
  <si>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</si>
  <si>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</si>
  <si>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</si>
  <si>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</si>
  <si>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</si>
  <si>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</si>
  <si>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</si>
  <si>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</si>
  <si>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</si>
  <si>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</si>
  <si>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</si>
  <si>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</si>
  <si>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</si>
  <si>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</si>
  <si>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</si>
  <si>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</si>
  <si>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</si>
  <si>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</si>
  <si>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</si>
  <si>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</si>
  <si>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</si>
  <si>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</si>
  <si>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</si>
  <si>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</si>
  <si>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</si>
  <si>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</si>
  <si>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</si>
  <si>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</si>
  <si>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</si>
  <si>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</si>
  <si>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</si>
  <si>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</si>
  <si>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</si>
  <si>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</si>
  <si>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</si>
  <si>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</si>
  <si>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</si>
  <si>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</si>
  <si>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</si>
  <si>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</si>
  <si>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</si>
  <si>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</si>
  <si>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</si>
  <si>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</si>
  <si>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</si>
  <si>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</si>
  <si>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</si>
  <si>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</si>
  <si>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</si>
  <si>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</si>
  <si>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</si>
  <si>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</si>
  <si>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</si>
  <si>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</si>
  <si>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</si>
  <si>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</si>
  <si>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</si>
  <si>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</si>
  <si>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</si>
  <si>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</si>
  <si>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</si>
  <si>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</si>
  <si>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</si>
  <si>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</si>
  <si>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</si>
  <si>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</si>
  <si>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</si>
  <si>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</si>
  <si>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</si>
  <si>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</si>
  <si>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</si>
  <si>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</si>
  <si>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</si>
  <si>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</si>
  <si>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</si>
  <si>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</si>
  <si>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</si>
  <si>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</si>
  <si>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</si>
  <si>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</si>
  <si>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</si>
  <si>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</si>
  <si>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</si>
  <si>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</si>
  <si>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</si>
  <si>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</si>
  <si>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</si>
  <si>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</si>
  <si>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</si>
  <si>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</si>
  <si>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</si>
  <si>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</si>
  <si>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</si>
  <si>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</si>
  <si>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</si>
  <si>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</si>
  <si>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</si>
  <si>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</si>
  <si>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</si>
  <si>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</si>
  <si>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</si>
  <si>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</si>
  <si>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</si>
  <si>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</si>
  <si>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</si>
  <si>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</si>
  <si>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</si>
  <si>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</si>
  <si>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</si>
  <si>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</si>
  <si>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</si>
  <si>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</si>
  <si>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</si>
  <si>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</si>
  <si>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</si>
  <si>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</si>
  <si>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</si>
  <si>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</si>
  <si>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</si>
  <si>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</si>
  <si>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</si>
  <si>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</si>
  <si>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</si>
  <si>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</si>
  <si>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</si>
  <si>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</si>
  <si>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</si>
  <si>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</si>
  <si>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</si>
  <si>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</si>
  <si>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</si>
  <si>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</si>
  <si>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</si>
  <si>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</si>
  <si>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</si>
  <si>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</si>
  <si>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</si>
  <si>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</si>
  <si>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</si>
  <si>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</si>
  <si>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</si>
  <si>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</si>
  <si>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</si>
  <si>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</si>
  <si>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</si>
  <si>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</si>
  <si>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</si>
  <si>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</si>
  <si>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</si>
  <si>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</si>
  <si>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</si>
  <si>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</si>
  <si>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</si>
  <si>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</si>
  <si>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</si>
  <si>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</si>
  <si>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</si>
  <si>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</si>
  <si>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</si>
  <si>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</si>
  <si>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</si>
  <si>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</si>
  <si>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</si>
  <si>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</si>
  <si>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</si>
  <si>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</si>
  <si>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</si>
  <si>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</si>
  <si>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</si>
  <si>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</si>
  <si>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</si>
  <si>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</si>
  <si>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</si>
  <si>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</si>
  <si>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</si>
  <si>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</si>
  <si>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</si>
  <si>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</si>
  <si>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</si>
  <si>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</si>
  <si>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</si>
  <si>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</si>
  <si>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</si>
  <si>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</si>
  <si>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</si>
  <si>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</si>
  <si>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</si>
  <si>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</si>
  <si>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</si>
  <si>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</si>
  <si>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</si>
  <si>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</si>
  <si>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</si>
  <si>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</si>
  <si>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</si>
  <si>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</si>
  <si>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</si>
  <si>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</si>
  <si>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</si>
  <si>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</si>
  <si>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</si>
  <si>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</si>
  <si>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</si>
  <si>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</si>
  <si>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</si>
  <si>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</si>
  <si>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</si>
  <si>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</si>
  <si>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</si>
  <si>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</si>
  <si>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</si>
  <si>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</si>
  <si>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</si>
  <si>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</si>
  <si>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</si>
  <si>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</si>
  <si>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</si>
  <si>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</si>
  <si>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</si>
  <si>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</si>
  <si>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</si>
  <si>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</si>
  <si>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</si>
  <si>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</si>
  <si>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</si>
  <si>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</si>
  <si>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</si>
  <si>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</si>
  <si>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</si>
  <si>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</si>
  <si>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</si>
  <si>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</si>
  <si>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</si>
  <si>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</si>
  <si>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</si>
  <si>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</si>
  <si>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</si>
  <si>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</si>
  <si>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</si>
  <si>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</si>
  <si>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</si>
  <si>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</si>
  <si>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</si>
  <si>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</si>
  <si>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</si>
  <si>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</si>
  <si>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</si>
  <si>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</si>
  <si>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</si>
  <si>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</si>
  <si>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</si>
  <si>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</si>
  <si>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</si>
  <si>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</si>
  <si>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</si>
  <si>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</si>
  <si>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</si>
  <si>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</si>
  <si>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</si>
  <si>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</si>
  <si>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</si>
  <si>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</si>
  <si>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</si>
  <si>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</si>
  <si>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</si>
  <si>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</si>
  <si>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</si>
  <si>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</si>
  <si>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</si>
  <si>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</si>
  <si>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</si>
  <si>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</si>
  <si>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</si>
  <si>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</si>
  <si>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</si>
  <si>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</si>
  <si>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</si>
  <si>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</si>
  <si>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</si>
  <si>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</si>
  <si>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</si>
  <si>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</si>
  <si>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</si>
  <si>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</si>
  <si>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</si>
  <si>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</si>
  <si>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</si>
  <si>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</si>
  <si>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</si>
  <si>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</si>
  <si>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</si>
  <si>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</si>
  <si>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</si>
  <si>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</si>
  <si>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</si>
  <si>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</si>
  <si>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</si>
  <si>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</si>
  <si>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</si>
  <si>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</si>
  <si>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</si>
  <si>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</si>
  <si>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</si>
  <si>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</si>
  <si>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</si>
  <si>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</si>
  <si>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</si>
  <si>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</si>
  <si>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</si>
  <si>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</si>
  <si>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</si>
  <si>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</si>
  <si>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</si>
  <si>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</si>
  <si>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</si>
  <si>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</si>
  <si>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</si>
  <si>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</si>
  <si>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</si>
  <si>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</si>
  <si>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</si>
  <si>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</si>
  <si>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</si>
  <si>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</si>
  <si>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</si>
  <si>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</si>
  <si>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</si>
  <si>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</si>
  <si>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</si>
  <si>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</si>
  <si>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</si>
  <si>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</si>
  <si>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</si>
  <si>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</si>
  <si>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</si>
  <si>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</si>
  <si>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</si>
  <si>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</si>
  <si>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</si>
  <si>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</si>
  <si>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</si>
  <si>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</si>
  <si>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</si>
  <si>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</si>
  <si>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</si>
  <si>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</si>
  <si>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</si>
  <si>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</si>
  <si>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</si>
  <si>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</si>
  <si>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</si>
  <si>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</si>
  <si>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</si>
  <si>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</si>
  <si>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</si>
  <si>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</si>
  <si>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</si>
  <si>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</si>
  <si>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</si>
  <si>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</si>
  <si>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</si>
  <si>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</si>
  <si>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</si>
  <si>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</si>
  <si>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</si>
  <si>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</si>
  <si>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</si>
  <si>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</si>
  <si>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</si>
  <si>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</si>
  <si>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</si>
  <si>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</si>
  <si>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</si>
  <si>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</si>
  <si>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</si>
  <si>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</si>
  <si>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</si>
  <si>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</si>
  <si>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</si>
  <si>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</si>
  <si>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</si>
  <si>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</si>
  <si>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</si>
  <si>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</si>
  <si>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</si>
  <si>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</si>
  <si>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</si>
  <si>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</si>
  <si>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</si>
  <si>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</si>
  <si>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</si>
  <si>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</si>
  <si>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</si>
  <si>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</si>
  <si>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</si>
  <si>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</si>
  <si>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</si>
  <si>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</si>
  <si>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</si>
  <si>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</si>
  <si>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</si>
  <si>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</si>
  <si>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</si>
  <si>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</si>
  <si>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</si>
  <si>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</si>
  <si>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</si>
  <si>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</si>
  <si>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</si>
  <si>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</si>
  <si>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</si>
  <si>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</si>
  <si>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</si>
  <si>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</si>
  <si>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</si>
  <si>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</si>
  <si>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</si>
  <si>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</si>
  <si>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</si>
  <si>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</si>
  <si>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</si>
  <si>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</si>
  <si>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</si>
  <si>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</si>
  <si>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</si>
  <si>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</si>
  <si>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</si>
  <si>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</si>
  <si>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</si>
  <si>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</si>
  <si>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</si>
  <si>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</si>
  <si>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</si>
  <si>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</si>
  <si>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</si>
  <si>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</si>
  <si>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</si>
  <si>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</si>
  <si>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</si>
  <si>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</si>
  <si>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</si>
  <si>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</si>
  <si>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</si>
  <si>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</si>
  <si>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</si>
  <si>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</si>
  <si>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</si>
  <si>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</si>
  <si>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</si>
  <si>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</si>
  <si>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</si>
  <si>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</si>
  <si>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</si>
  <si>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</si>
  <si>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</si>
  <si>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</si>
  <si>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</si>
  <si>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</si>
  <si>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</si>
  <si>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</si>
  <si>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</si>
  <si>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</si>
  <si>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</si>
  <si>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</si>
  <si>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</si>
  <si>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</si>
  <si>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</si>
  <si>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</si>
  <si>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</si>
  <si>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</si>
  <si>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</si>
  <si>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</si>
  <si>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</si>
  <si>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</si>
  <si>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</si>
  <si>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</si>
  <si>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</si>
  <si>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</si>
  <si>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</si>
  <si>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</si>
  <si>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</si>
  <si>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</si>
  <si>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</si>
  <si>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</si>
  <si>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</si>
  <si>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</si>
  <si>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</si>
  <si>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</si>
  <si>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</si>
  <si>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</si>
  <si>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</si>
  <si>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</si>
  <si>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</si>
  <si>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</si>
  <si>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</si>
  <si>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</si>
  <si>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</si>
  <si>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</si>
  <si>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</si>
  <si>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</si>
  <si>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</si>
  <si>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</si>
  <si>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</si>
  <si>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</si>
  <si>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</si>
  <si>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</si>
  <si>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</si>
  <si>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</si>
  <si>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</si>
  <si>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</si>
  <si>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</si>
  <si>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</si>
  <si>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</si>
  <si>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</si>
  <si>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</si>
  <si>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</si>
  <si>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</si>
  <si>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</si>
  <si>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</si>
  <si>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</si>
  <si>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</si>
  <si>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</si>
  <si>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</si>
  <si>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</si>
  <si>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</si>
  <si>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</si>
  <si>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</si>
  <si>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</si>
  <si>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</si>
  <si>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</si>
  <si>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</si>
  <si>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</si>
  <si>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</si>
  <si>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</si>
  <si>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</si>
  <si>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</si>
  <si>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</si>
  <si>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</si>
  <si>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</si>
  <si>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</si>
  <si>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</si>
  <si>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</si>
  <si>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</si>
  <si>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</si>
  <si>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</si>
  <si>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</si>
  <si>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</si>
  <si>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</si>
  <si>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</si>
  <si>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</si>
  <si>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</si>
  <si>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</si>
  <si>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</si>
  <si>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</si>
  <si>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</si>
  <si>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</si>
  <si>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</si>
  <si>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</si>
  <si>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</si>
  <si>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</si>
  <si>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</si>
  <si>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</si>
  <si>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</si>
  <si>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</si>
  <si>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</si>
  <si>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</si>
  <si>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</si>
  <si>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</si>
  <si>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</si>
  <si>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</si>
  <si>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</si>
  <si>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</si>
  <si>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</si>
  <si>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</si>
  <si>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</si>
  <si>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</si>
  <si>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</si>
  <si>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</si>
  <si>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</si>
  <si>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</si>
  <si>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</si>
  <si>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</si>
  <si>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</si>
  <si>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</si>
  <si>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</si>
  <si>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</si>
  <si>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</si>
  <si>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</si>
  <si>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</si>
  <si>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</si>
  <si>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</si>
  <si>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</si>
  <si>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</si>
  <si>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</si>
  <si>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</si>
  <si>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</si>
  <si>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</si>
  <si>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</si>
  <si>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</si>
  <si>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</si>
  <si>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</si>
  <si>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</si>
  <si>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</si>
  <si>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</si>
  <si>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</si>
  <si>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</si>
  <si>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</si>
  <si>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</si>
  <si>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</si>
  <si>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</si>
  <si>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</si>
  <si>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</si>
  <si>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</si>
  <si>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</si>
  <si>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</si>
  <si>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</si>
  <si>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</si>
  <si>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</si>
  <si>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</si>
  <si>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</si>
  <si>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</si>
  <si>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</si>
  <si>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</si>
  <si>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</si>
  <si>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</si>
  <si>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</si>
  <si>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</si>
  <si>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</si>
  <si>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</si>
  <si>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</si>
  <si>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</si>
  <si>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</si>
  <si>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</si>
  <si>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</si>
  <si>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</si>
  <si>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</si>
  <si>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</si>
  <si>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</si>
  <si>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</si>
  <si>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</si>
  <si>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</si>
  <si>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</si>
  <si>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</si>
  <si>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</si>
  <si>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</si>
  <si>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</si>
  <si>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</si>
  <si>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</si>
  <si>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</si>
  <si>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</si>
  <si>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</si>
  <si>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</si>
  <si>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</si>
  <si>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</si>
  <si>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</si>
  <si>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</si>
  <si>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</si>
  <si>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</si>
  <si>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</si>
  <si>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</si>
  <si>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</si>
  <si>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</si>
  <si>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</si>
  <si>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</si>
  <si>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</si>
  <si>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</si>
  <si>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</si>
  <si>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</si>
  <si>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</si>
  <si>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</si>
  <si>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</si>
  <si>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</si>
  <si>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</si>
  <si>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</si>
  <si>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</si>
  <si>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</si>
  <si>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</si>
  <si>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</si>
  <si>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</si>
  <si>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</si>
  <si>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</si>
  <si>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</si>
  <si>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</si>
  <si>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</si>
  <si>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</si>
  <si>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</si>
  <si>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</si>
  <si>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</si>
  <si>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</si>
  <si>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</si>
  <si>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</si>
  <si>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</si>
  <si>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</si>
  <si>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</si>
  <si>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</si>
  <si>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</si>
  <si>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</si>
  <si>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</si>
  <si>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</si>
  <si>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</si>
  <si>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</si>
  <si>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</si>
  <si>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</si>
  <si>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</si>
  <si>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</si>
  <si>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</si>
  <si>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</si>
  <si>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</si>
  <si>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</si>
  <si>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</si>
  <si>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</si>
  <si>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</si>
  <si>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</si>
  <si>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</si>
  <si>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</si>
  <si>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</si>
  <si>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</si>
  <si>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</si>
  <si>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</si>
  <si>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</si>
  <si>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</si>
  <si>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</si>
  <si>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</si>
  <si>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</si>
  <si>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</si>
  <si>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</si>
  <si>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</si>
  <si>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</si>
  <si>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</si>
  <si>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</si>
  <si>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</si>
  <si>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</si>
  <si>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</si>
  <si>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</si>
  <si>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</si>
  <si>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</si>
  <si>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</si>
  <si>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</si>
  <si>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</si>
  <si>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</si>
  <si>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</si>
  <si>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</si>
  <si>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</si>
  <si>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</si>
  <si>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</si>
  <si>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</si>
  <si>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</si>
  <si>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</si>
  <si>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</si>
  <si>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</si>
  <si>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</si>
  <si>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</si>
  <si>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</si>
  <si>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</si>
  <si>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</si>
  <si>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</si>
  <si>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</si>
  <si>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</si>
  <si>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</si>
  <si>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</si>
  <si>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</si>
  <si>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</si>
  <si>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</si>
  <si>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</si>
  <si>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</si>
  <si>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</si>
  <si>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</si>
  <si>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</si>
  <si>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</si>
  <si>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</si>
  <si>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</si>
  <si>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</si>
  <si>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</si>
  <si>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</si>
  <si>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</si>
  <si>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</si>
  <si>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</si>
  <si>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</si>
  <si>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</si>
  <si>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</si>
  <si>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</si>
  <si>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</si>
  <si>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</si>
  <si>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</si>
  <si>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</si>
  <si>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</si>
  <si>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</si>
  <si>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</si>
  <si>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</si>
  <si>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</si>
  <si>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</si>
  <si>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</si>
  <si>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</si>
  <si>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</si>
  <si>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</si>
  <si>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</si>
  <si>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</si>
  <si>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</si>
  <si>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</si>
  <si>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</si>
  <si>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</si>
  <si>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</si>
  <si>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</si>
  <si>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</si>
  <si>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</si>
  <si>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</si>
  <si>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</si>
  <si>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</si>
  <si>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</si>
  <si>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</si>
  <si>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</si>
  <si>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</si>
  <si>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</si>
  <si>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</si>
  <si>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</si>
  <si>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</si>
  <si>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</si>
  <si>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</si>
  <si>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</si>
  <si>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</si>
  <si>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</si>
  <si>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</si>
  <si>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</si>
  <si>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</si>
  <si>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</si>
  <si>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</si>
  <si>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</si>
  <si>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</si>
  <si>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</si>
  <si>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</si>
  <si>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</si>
  <si>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</si>
  <si>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</si>
  <si>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</si>
  <si>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</si>
  <si>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</si>
  <si>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</si>
  <si>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</si>
  <si>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</si>
  <si>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</si>
  <si>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</si>
  <si>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</si>
  <si>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</si>
  <si>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</si>
  <si>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</si>
  <si>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</si>
  <si>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</si>
  <si>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</si>
  <si>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</si>
  <si>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</si>
  <si>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</si>
  <si>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</si>
  <si>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</si>
  <si>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</si>
  <si>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</si>
  <si>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</si>
  <si>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</si>
  <si>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</si>
  <si>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</si>
  <si>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</si>
  <si>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</si>
  <si>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</si>
  <si>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</si>
  <si>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</si>
  <si>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</si>
  <si>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</si>
  <si>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</si>
  <si>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</si>
  <si>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</si>
  <si>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</si>
  <si>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</si>
  <si>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</si>
  <si>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</si>
  <si>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</si>
  <si>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</si>
  <si>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</si>
  <si>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</si>
  <si>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</si>
  <si>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</si>
  <si>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</si>
  <si>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</si>
  <si>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</si>
  <si>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</si>
  <si>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</si>
  <si>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</si>
  <si>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</si>
  <si>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</si>
  <si>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</si>
  <si>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</si>
  <si>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</si>
  <si>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</si>
  <si>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</si>
  <si>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</si>
  <si>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</si>
  <si>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</si>
  <si>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</si>
  <si>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</si>
  <si>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</si>
  <si>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</si>
  <si>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</si>
  <si>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</si>
  <si>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</si>
  <si>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</si>
  <si>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</si>
  <si>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</si>
  <si>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</si>
  <si>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</si>
  <si>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</si>
  <si>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</si>
  <si>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</si>
  <si>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</si>
  <si>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</si>
  <si>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</si>
  <si>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</si>
  <si>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</si>
  <si>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</si>
  <si>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</si>
  <si>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</si>
  <si>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</si>
  <si>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</si>
  <si>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</si>
  <si>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</si>
  <si>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</si>
  <si>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</si>
  <si>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</si>
  <si>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</si>
  <si>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</si>
  <si>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</si>
  <si>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</si>
  <si>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</si>
  <si>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</si>
  <si>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</si>
  <si>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</si>
  <si>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</si>
  <si>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</si>
  <si>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</si>
  <si>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</si>
  <si>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</si>
  <si>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</si>
  <si>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</si>
  <si>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</si>
  <si>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</si>
  <si>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</si>
  <si>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</si>
  <si>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</si>
  <si>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</si>
  <si>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</si>
  <si>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</si>
  <si>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</si>
  <si>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</si>
  <si>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</si>
  <si>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</si>
  <si>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</si>
  <si>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</si>
  <si>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</si>
  <si>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</si>
  <si>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</si>
  <si>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</si>
  <si>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</si>
  <si>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</si>
  <si>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</si>
  <si>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</si>
  <si>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</si>
  <si>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</si>
  <si>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</si>
  <si>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</si>
  <si>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</si>
  <si>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</si>
  <si>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</si>
  <si>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</si>
  <si>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</si>
  <si>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</si>
  <si>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</si>
  <si>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</si>
  <si>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</si>
  <si>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</si>
  <si>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</si>
  <si>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</si>
  <si>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</si>
  <si>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</si>
  <si>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</si>
  <si>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</si>
  <si>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</si>
  <si>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</si>
  <si>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</si>
  <si>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</si>
  <si>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</si>
  <si>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</si>
  <si>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</si>
  <si>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</si>
  <si>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</si>
  <si>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</si>
  <si>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</si>
  <si>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</si>
  <si>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</si>
  <si>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</si>
  <si>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</si>
  <si>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</si>
  <si>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</si>
  <si>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</si>
  <si>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</si>
  <si>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</si>
  <si>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</si>
  <si>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</si>
  <si>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</si>
  <si>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</si>
  <si>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</si>
  <si>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</si>
  <si>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</si>
  <si>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</si>
  <si>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</si>
  <si>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</si>
  <si>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</si>
  <si>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</si>
  <si>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</si>
  <si>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</si>
  <si>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</si>
  <si>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</si>
  <si>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</si>
  <si>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</si>
  <si>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</si>
  <si>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</si>
  <si>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</si>
  <si>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</si>
  <si>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</si>
  <si>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</si>
  <si>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</si>
  <si>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</si>
  <si>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</si>
  <si>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</si>
  <si>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</si>
  <si>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</si>
  <si>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</si>
  <si>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</si>
  <si>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</si>
  <si>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</si>
  <si>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</si>
  <si>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</si>
  <si>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</si>
  <si>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</si>
  <si>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</si>
  <si>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</si>
  <si>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</si>
  <si>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</si>
  <si>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</si>
  <si>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</si>
  <si>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</si>
  <si>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</si>
  <si>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</si>
  <si>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</si>
  <si>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</si>
  <si>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</si>
  <si>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</si>
  <si>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</si>
  <si>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</si>
  <si>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</si>
  <si>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</si>
  <si>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</si>
  <si>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</si>
  <si>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</si>
  <si>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</si>
  <si>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</si>
  <si>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</si>
  <si>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</si>
  <si>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</si>
  <si>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</si>
  <si>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</si>
  <si>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</si>
  <si>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</si>
  <si>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</si>
  <si>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</si>
  <si>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</si>
  <si>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</si>
  <si>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</si>
  <si>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</si>
  <si>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</si>
  <si>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</si>
  <si>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</si>
  <si>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</si>
  <si>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</si>
  <si>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</si>
  <si>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</si>
  <si>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</si>
  <si>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</si>
  <si>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</si>
  <si>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</si>
  <si>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</si>
  <si>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</si>
  <si>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</si>
  <si>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</si>
  <si>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</si>
  <si>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</si>
  <si>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</si>
  <si>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</si>
  <si>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</si>
  <si>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</si>
  <si>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</si>
  <si>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</si>
  <si>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</si>
  <si>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</si>
  <si>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</si>
  <si>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</si>
  <si>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</si>
  <si>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</si>
  <si>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</si>
  <si>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</si>
  <si>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</si>
  <si>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</si>
  <si>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</si>
  <si>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</si>
  <si>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</si>
  <si>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</si>
  <si>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</si>
  <si>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</si>
  <si>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</si>
  <si>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</si>
  <si>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</si>
  <si>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</si>
  <si>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</si>
  <si>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</si>
  <si>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</si>
  <si>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</si>
  <si>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</si>
  <si>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</si>
  <si>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</si>
  <si>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</si>
  <si>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</si>
  <si>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</si>
  <si>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</si>
  <si>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</si>
  <si>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</si>
  <si>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</si>
  <si>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</si>
  <si>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</si>
  <si>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</si>
  <si>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</si>
  <si>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</si>
  <si>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</si>
  <si>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</si>
  <si>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</si>
  <si>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</si>
  <si>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</si>
  <si>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</si>
  <si>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</si>
  <si>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</si>
  <si>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</si>
  <si>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</si>
  <si>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</si>
  <si>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</si>
  <si>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</si>
  <si>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</si>
  <si>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</si>
  <si>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</si>
  <si>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</si>
  <si>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</si>
  <si>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</si>
  <si>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</si>
  <si>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</si>
  <si>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</si>
  <si>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</si>
  <si>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</si>
  <si>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</si>
  <si>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</si>
  <si>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</si>
  <si>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</si>
  <si>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</si>
  <si>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</si>
  <si>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</si>
  <si>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</si>
  <si>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</si>
  <si>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</si>
  <si>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</si>
  <si>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</si>
  <si>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</si>
  <si>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</si>
  <si>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</si>
  <si>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</si>
  <si>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</si>
  <si>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</si>
  <si>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</si>
  <si>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</si>
  <si>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</si>
  <si>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</si>
  <si>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</si>
  <si>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</si>
  <si>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</si>
  <si>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</si>
  <si>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</si>
  <si>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</si>
  <si>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</si>
  <si>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</si>
  <si>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</si>
  <si>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</si>
  <si>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</si>
  <si>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</si>
  <si>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</si>
  <si>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</si>
  <si>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</si>
  <si>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</si>
  <si>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</si>
  <si>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</si>
  <si>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</si>
  <si>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</si>
  <si>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</si>
  <si>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</si>
  <si>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</si>
  <si>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</si>
  <si>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</si>
  <si>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</si>
  <si>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</si>
  <si>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</si>
  <si>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</si>
  <si>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</si>
  <si>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</si>
  <si>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</si>
  <si>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</si>
  <si>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</si>
  <si>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</si>
  <si>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</si>
  <si>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</si>
  <si>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</si>
  <si>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</si>
  <si>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</si>
  <si>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</si>
  <si>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</si>
  <si>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</si>
  <si>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</si>
  <si>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</si>
  <si>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</si>
  <si>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</si>
  <si>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</si>
  <si>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</si>
  <si>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</si>
  <si>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</si>
  <si>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</si>
  <si>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</si>
  <si>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</si>
  <si>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</si>
  <si>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</si>
  <si>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</si>
  <si>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</si>
  <si>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</si>
  <si>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</si>
  <si>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</si>
  <si>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</si>
  <si>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</si>
  <si>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</si>
  <si>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</si>
  <si>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</si>
  <si>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</si>
  <si>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</si>
  <si>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</si>
  <si>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</si>
  <si>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</si>
  <si>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</si>
  <si>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</si>
  <si>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</si>
  <si>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</si>
  <si>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</si>
  <si>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</si>
  <si>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</si>
  <si>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</si>
  <si>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</si>
  <si>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</si>
  <si>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</si>
  <si>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</si>
  <si>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</si>
  <si>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</si>
  <si>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</si>
  <si>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</si>
  <si>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</si>
  <si>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</si>
  <si>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</si>
  <si>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</si>
  <si>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</si>
  <si>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</si>
  <si>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</si>
  <si>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</si>
  <si>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</si>
  <si>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</si>
  <si>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</si>
  <si>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</si>
  <si>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</si>
  <si>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</si>
  <si>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</si>
  <si>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</si>
  <si>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</si>
  <si>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</si>
  <si>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</si>
  <si>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</si>
  <si>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</si>
  <si>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</si>
  <si>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</si>
  <si>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</si>
  <si>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</si>
  <si>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</si>
  <si>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</si>
  <si>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</si>
  <si>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</si>
  <si>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</si>
  <si>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</si>
  <si>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</si>
  <si>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</si>
  <si>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</si>
  <si>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</si>
  <si>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</si>
  <si>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</si>
  <si>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</si>
  <si>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</si>
  <si>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</si>
  <si>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</si>
  <si>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</si>
  <si>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</si>
  <si>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</si>
  <si>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</si>
  <si>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</si>
  <si>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</si>
  <si>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</si>
  <si>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</si>
  <si>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</si>
  <si>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</si>
  <si>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</si>
  <si>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</si>
  <si>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</si>
  <si>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</si>
  <si>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</si>
  <si>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</si>
  <si>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</si>
  <si>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</si>
  <si>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</si>
  <si>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</si>
  <si>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</si>
  <si>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</si>
  <si>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</si>
  <si>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</si>
  <si>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</si>
  <si>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</si>
  <si>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</si>
  <si>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</si>
  <si>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</si>
  <si>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</si>
  <si>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</si>
  <si>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</si>
  <si>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</si>
  <si>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</si>
  <si>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</si>
  <si>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</si>
  <si>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</si>
  <si>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</si>
  <si>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</si>
  <si>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</si>
  <si>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</si>
  <si>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</si>
  <si>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</si>
  <si>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</si>
  <si>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</si>
  <si>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</si>
  <si>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</si>
  <si>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</si>
  <si>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</si>
  <si>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</si>
  <si>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</si>
  <si>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</si>
  <si>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</si>
  <si>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</si>
  <si>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</si>
  <si>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</si>
  <si>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</si>
  <si>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</si>
  <si>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</si>
  <si>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</si>
  <si>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</si>
  <si>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</si>
  <si>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</si>
  <si>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</si>
  <si>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</si>
  <si>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</si>
  <si>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</si>
  <si>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</si>
  <si>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</si>
  <si>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</si>
  <si>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</si>
  <si>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</si>
  <si>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</si>
  <si>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</si>
  <si>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</si>
  <si>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</si>
  <si>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</si>
  <si>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</si>
  <si>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</si>
  <si>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</si>
  <si>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</si>
  <si>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</si>
  <si>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</si>
  <si>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</si>
  <si>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</si>
  <si>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</si>
  <si>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</si>
  <si>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</si>
  <si>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</si>
  <si>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</si>
  <si>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</si>
  <si>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</si>
  <si>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</si>
  <si>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</si>
  <si>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</si>
  <si>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</si>
  <si>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</si>
  <si>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</si>
  <si>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</si>
  <si>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</si>
  <si>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</si>
  <si>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</si>
  <si>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</si>
  <si>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</si>
  <si>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</si>
  <si>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</si>
  <si>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</si>
  <si>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</si>
  <si>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</si>
  <si>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</si>
  <si>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</si>
  <si>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</si>
  <si>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</si>
  <si>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</si>
  <si>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</si>
  <si>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</si>
  <si>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</si>
  <si>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</si>
  <si>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</si>
  <si>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</si>
  <si>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</si>
  <si>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</si>
  <si>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</si>
  <si>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</si>
  <si>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</si>
  <si>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</si>
  <si>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</si>
  <si>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</si>
  <si>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</si>
  <si>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</si>
  <si>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</si>
  <si>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</si>
  <si>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</si>
  <si>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</si>
  <si>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</si>
  <si>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</si>
  <si>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</si>
  <si>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</si>
  <si>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</si>
  <si>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</si>
  <si>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</si>
  <si>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</si>
  <si>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</si>
  <si>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</si>
  <si>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</si>
  <si>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</si>
  <si>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</si>
  <si>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</si>
  <si>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</si>
  <si>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</si>
  <si>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</si>
  <si>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</si>
  <si>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</si>
  <si>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</si>
  <si>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</si>
  <si>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</si>
  <si>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</si>
  <si>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</si>
  <si>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</si>
  <si>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</si>
  <si>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</si>
  <si>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</si>
  <si>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</si>
  <si>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</si>
  <si>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</si>
  <si>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</si>
  <si>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</si>
  <si>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</si>
  <si>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</si>
  <si>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</si>
  <si>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</si>
  <si>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</si>
  <si>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</si>
  <si>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</si>
  <si>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</si>
  <si>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</si>
  <si>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</si>
  <si>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</si>
  <si>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</si>
  <si>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</si>
  <si>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</si>
  <si>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</si>
  <si>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</si>
  <si>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</si>
  <si>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</si>
  <si>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</si>
  <si>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</si>
  <si>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</si>
  <si>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</si>
  <si>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</si>
  <si>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</si>
  <si>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</si>
  <si>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</si>
  <si>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</si>
  <si>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</si>
  <si>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</si>
  <si>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</si>
  <si>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</si>
  <si>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</si>
  <si>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</si>
  <si>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</si>
  <si>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</si>
  <si>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</si>
  <si>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</si>
  <si>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</si>
  <si>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</si>
  <si>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</si>
  <si>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</si>
  <si>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</si>
  <si>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</si>
  <si>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</si>
  <si>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</si>
  <si>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</si>
  <si>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</si>
  <si>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</si>
  <si>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</si>
  <si>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</si>
  <si>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</si>
  <si>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</si>
  <si>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</si>
  <si>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</si>
  <si>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</si>
  <si>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</si>
  <si>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</si>
  <si>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</si>
  <si>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</si>
  <si>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</si>
  <si>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</si>
  <si>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</si>
  <si>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</si>
  <si>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</si>
  <si>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</si>
  <si>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</si>
  <si>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</si>
  <si>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</si>
  <si>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</si>
  <si>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</si>
  <si>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</si>
  <si>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</si>
  <si>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</si>
  <si>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</si>
  <si>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</si>
  <si>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</si>
  <si>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</si>
  <si>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</si>
  <si>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</si>
  <si>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</si>
  <si>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</si>
  <si>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</si>
  <si>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</si>
  <si>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</si>
  <si>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</si>
  <si>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</si>
  <si>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</si>
  <si>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</si>
  <si>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</si>
  <si>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</si>
  <si>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</si>
  <si>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</si>
  <si>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</si>
  <si>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</si>
  <si>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</si>
  <si>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</si>
  <si>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</si>
  <si>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</si>
  <si>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</si>
  <si>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</si>
  <si>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</si>
  <si>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</si>
  <si>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</si>
  <si>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</si>
  <si>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</si>
  <si>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</si>
  <si>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</si>
  <si>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</si>
  <si>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</si>
  <si>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</si>
  <si>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</si>
  <si>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</si>
  <si>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</si>
  <si>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</si>
  <si>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</si>
  <si>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</si>
  <si>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</si>
  <si>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</si>
  <si>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</si>
  <si>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</si>
  <si>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</si>
  <si>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</si>
  <si>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</si>
  <si>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</si>
  <si>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</si>
  <si>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</si>
  <si>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</si>
  <si>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</si>
  <si>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</si>
  <si>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</si>
  <si>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</si>
  <si>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</si>
  <si>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</si>
  <si>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</si>
  <si>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</si>
  <si>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</si>
  <si>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</si>
  <si>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</si>
  <si>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</si>
  <si>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</si>
  <si>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</si>
  <si>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</si>
  <si>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</si>
  <si>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</si>
  <si>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</si>
  <si>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</si>
  <si>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</si>
  <si>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</si>
  <si>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</si>
  <si>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</si>
  <si>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</si>
  <si>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</si>
  <si>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</si>
  <si>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</si>
  <si>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</si>
  <si>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</si>
  <si>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</si>
  <si>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</si>
  <si>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</si>
  <si>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</si>
  <si>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</si>
  <si>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</si>
  <si>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</si>
  <si>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</si>
  <si>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</si>
  <si>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</si>
  <si>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</si>
  <si>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</si>
  <si>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</si>
  <si>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</si>
  <si>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</si>
  <si>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</si>
  <si>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</si>
  <si>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</si>
  <si>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</si>
  <si>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</si>
  <si>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</si>
  <si>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</si>
  <si>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</si>
  <si>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</si>
  <si>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</si>
  <si>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</si>
  <si>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</si>
  <si>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</si>
  <si>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</si>
  <si>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</si>
  <si>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</si>
  <si>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</si>
  <si>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</si>
  <si>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</si>
  <si>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</si>
  <si>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</si>
  <si>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</si>
  <si>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</si>
  <si>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</si>
  <si>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</si>
  <si>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</si>
  <si>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</si>
  <si>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</si>
  <si>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</si>
  <si>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</si>
  <si>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</si>
  <si>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</si>
  <si>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</si>
  <si>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</si>
  <si>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</si>
  <si>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</si>
  <si>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</si>
  <si>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</si>
  <si>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</si>
  <si>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</si>
  <si>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</si>
  <si>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</si>
  <si>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</si>
  <si>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</si>
  <si>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</si>
  <si>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</si>
  <si>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</si>
  <si>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</si>
  <si>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</si>
  <si>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</si>
  <si>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</si>
  <si>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</si>
  <si>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</si>
  <si>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</si>
  <si>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</si>
  <si>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</si>
  <si>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</si>
  <si>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</si>
  <si>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</si>
  <si>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</si>
  <si>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</si>
  <si>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</si>
  <si>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</si>
  <si>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</si>
  <si>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</si>
  <si>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</si>
  <si>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</si>
  <si>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</si>
  <si>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</si>
  <si>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</si>
  <si>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</si>
  <si>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</si>
  <si>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</si>
  <si>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</si>
  <si>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</si>
  <si>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</si>
  <si>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</si>
  <si>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</si>
  <si>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</si>
  <si>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</si>
  <si>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</si>
  <si>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</si>
  <si>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</si>
  <si>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</si>
  <si>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</si>
  <si>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</si>
  <si>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</si>
  <si>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</si>
  <si>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</si>
  <si>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</si>
  <si>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</si>
  <si>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</si>
  <si>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</si>
  <si>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</si>
  <si>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</si>
  <si>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</si>
  <si>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</si>
  <si>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</si>
  <si>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</si>
  <si>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</si>
  <si>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</si>
  <si>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</si>
  <si>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</si>
  <si>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</si>
  <si>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</si>
  <si>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</si>
  <si>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</si>
  <si>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</si>
  <si>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</si>
  <si>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</si>
  <si>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</si>
  <si>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</si>
  <si>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</si>
  <si>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</si>
  <si>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</si>
  <si>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</si>
  <si>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</si>
  <si>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</si>
  <si>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</si>
  <si>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</si>
  <si>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</si>
  <si>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</si>
  <si>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</si>
  <si>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</si>
  <si>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</si>
  <si>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</si>
  <si>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</si>
  <si>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</si>
  <si>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</si>
  <si>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</si>
  <si>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</si>
  <si>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</si>
  <si>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</si>
  <si>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</si>
  <si>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</si>
  <si>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</si>
  <si>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</si>
  <si>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</si>
  <si>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</si>
  <si>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</si>
  <si>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</si>
  <si>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</si>
  <si>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</si>
  <si>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</si>
  <si>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</si>
  <si>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</si>
  <si>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</si>
  <si>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</si>
  <si>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</si>
  <si>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</si>
  <si>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</si>
  <si>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</si>
  <si>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</si>
  <si>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</si>
  <si>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</si>
  <si>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</si>
  <si>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</si>
  <si>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</si>
  <si>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</si>
  <si>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</si>
  <si>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</si>
  <si>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</si>
  <si>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</si>
  <si>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</si>
  <si>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</si>
  <si>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</si>
  <si>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</si>
  <si>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</si>
  <si>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</si>
  <si>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</si>
  <si>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</si>
  <si>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</si>
  <si>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</si>
  <si>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</si>
  <si>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</si>
  <si>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</si>
  <si>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</si>
  <si>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</si>
  <si>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</si>
  <si>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</si>
  <si>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</si>
  <si>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</si>
  <si>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</si>
  <si>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</si>
  <si>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</si>
  <si>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</si>
  <si>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</si>
  <si>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</si>
  <si>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</si>
  <si>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</si>
  <si>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</si>
  <si>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</si>
  <si>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</si>
  <si>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</si>
  <si>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</si>
  <si>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</si>
  <si>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</si>
  <si>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</si>
  <si>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</si>
  <si>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</si>
  <si>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</si>
  <si>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</si>
  <si>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</si>
  <si>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</si>
  <si>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</si>
  <si>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</si>
  <si>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</si>
  <si>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</si>
  <si>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</si>
  <si>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</si>
  <si>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</si>
  <si>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</si>
  <si>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</si>
  <si>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</si>
  <si>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</si>
  <si>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</si>
  <si>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</si>
  <si>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</si>
  <si>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</si>
  <si>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</si>
  <si>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</si>
  <si>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</si>
  <si>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</si>
  <si>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</si>
  <si>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</si>
  <si>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</si>
  <si>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</si>
  <si>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</si>
  <si>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</si>
  <si>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</si>
  <si>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</si>
  <si>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</si>
  <si>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</si>
  <si>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</si>
  <si>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</si>
  <si>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</si>
  <si>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</si>
  <si>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</si>
  <si>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</si>
  <si>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</si>
  <si>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</si>
  <si>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</si>
  <si>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</si>
  <si>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</si>
  <si>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</si>
  <si>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</si>
  <si>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</si>
  <si>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</si>
  <si>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</si>
  <si>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</si>
  <si>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</si>
  <si>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</si>
  <si>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</si>
  <si>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</si>
  <si>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</si>
  <si>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</si>
  <si>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</si>
  <si>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</si>
  <si>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</si>
  <si>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</si>
  <si>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</si>
  <si>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</si>
  <si>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</si>
  <si>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</si>
  <si>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</si>
  <si>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</si>
  <si>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</si>
  <si>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</si>
  <si>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</si>
  <si>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</si>
  <si>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</si>
  <si>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</si>
  <si>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</si>
  <si>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</si>
  <si>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</si>
  <si>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</si>
  <si>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</si>
  <si>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</si>
  <si>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</si>
  <si>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</si>
  <si>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</si>
  <si>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</si>
  <si>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</si>
  <si>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</si>
  <si>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</si>
  <si>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</si>
  <si>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</si>
  <si>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</si>
  <si>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</si>
  <si>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</si>
  <si>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</si>
  <si>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</si>
  <si>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</si>
  <si>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</si>
  <si>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</si>
  <si>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</si>
  <si>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</si>
  <si>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</si>
  <si>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</si>
  <si>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</si>
  <si>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</si>
  <si>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</si>
  <si>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</si>
  <si>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</si>
  <si>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</si>
  <si>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</si>
  <si>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</si>
  <si>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</si>
  <si>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</si>
  <si>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</si>
  <si>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</si>
  <si>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</si>
  <si>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</si>
  <si>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</si>
  <si>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</si>
  <si>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</si>
  <si>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</si>
  <si>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</si>
  <si>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</si>
  <si>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</si>
  <si>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</si>
  <si>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</si>
  <si>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</si>
  <si>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</si>
  <si>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</si>
  <si>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</si>
  <si>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</si>
  <si>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</si>
  <si>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</si>
  <si>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</si>
  <si>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</si>
  <si>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</si>
  <si>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</si>
  <si>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</si>
  <si>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</si>
  <si>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</si>
  <si>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</si>
  <si>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</si>
  <si>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</si>
  <si>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</si>
  <si>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</si>
  <si>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</si>
  <si>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</si>
  <si>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</si>
  <si>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</si>
  <si>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</si>
  <si>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</si>
  <si>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</si>
  <si>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</si>
  <si>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</si>
  <si>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</si>
  <si>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</si>
  <si>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</si>
  <si>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</si>
  <si>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</si>
  <si>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</si>
  <si>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</si>
  <si>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</si>
  <si>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</si>
  <si>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</si>
  <si>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</si>
  <si>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</si>
  <si>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</si>
  <si>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</si>
  <si>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</si>
  <si>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</si>
  <si>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</si>
  <si>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</si>
  <si>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</si>
  <si>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</si>
  <si>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</si>
  <si>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</si>
  <si>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</si>
  <si>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</si>
  <si>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</si>
  <si>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</si>
  <si>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</si>
  <si>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</si>
  <si>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</si>
  <si>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</si>
  <si>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</si>
  <si>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</si>
  <si>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</si>
  <si>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</si>
  <si>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</si>
  <si>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</si>
  <si>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</si>
  <si>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</si>
  <si>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</si>
  <si>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</si>
  <si>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</si>
  <si>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</si>
  <si>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</si>
  <si>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</si>
  <si>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</si>
  <si>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</si>
  <si>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</si>
  <si>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</si>
  <si>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</si>
  <si>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</si>
  <si>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</si>
  <si>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</si>
  <si>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</si>
  <si>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</si>
  <si>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</si>
  <si>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</si>
  <si>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</si>
  <si>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</si>
  <si>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</si>
  <si>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</si>
  <si>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</si>
  <si>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</si>
  <si>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</si>
  <si>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</si>
  <si>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</si>
  <si>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</si>
  <si>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</si>
  <si>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</si>
  <si>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</si>
  <si>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</si>
  <si>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</si>
  <si>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</si>
  <si>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</si>
  <si>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</si>
  <si>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</si>
  <si>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</si>
  <si>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</si>
  <si>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</si>
  <si>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</si>
  <si>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</si>
  <si>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</si>
  <si>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</si>
  <si>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</si>
  <si>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</si>
  <si>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</si>
  <si>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</si>
  <si>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</si>
  <si>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</si>
  <si>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</si>
  <si>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</si>
  <si>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</si>
  <si>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</si>
  <si>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</si>
  <si>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</si>
  <si>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</si>
  <si>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</si>
  <si>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</si>
  <si>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</si>
  <si>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</si>
  <si>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</si>
  <si>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</si>
  <si>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</si>
  <si>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</si>
  <si>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</si>
  <si>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</si>
  <si>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</si>
  <si>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</si>
  <si>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</si>
  <si>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</si>
  <si>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</si>
  <si>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</si>
  <si>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</si>
  <si>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</si>
  <si>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</si>
  <si>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</si>
  <si>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</si>
  <si>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</si>
  <si>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</si>
  <si>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</si>
  <si>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</si>
  <si>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</si>
  <si>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</si>
  <si>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</si>
  <si>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</si>
  <si>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</si>
  <si>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</si>
  <si>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</si>
  <si>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</si>
  <si>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</si>
  <si>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</si>
  <si>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</si>
  <si>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</si>
  <si>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</si>
  <si>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</si>
  <si>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</si>
  <si>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</si>
  <si>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</si>
  <si>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</si>
  <si>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</si>
  <si>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</si>
  <si>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</si>
  <si>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</si>
  <si>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</si>
  <si>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</si>
  <si>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</si>
  <si>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</si>
  <si>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</si>
  <si>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</si>
  <si>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</si>
  <si>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</si>
  <si>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</si>
  <si>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</si>
  <si>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</si>
  <si>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</si>
  <si>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</si>
  <si>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</si>
  <si>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</si>
  <si>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</si>
  <si>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</si>
  <si>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</si>
  <si>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</si>
  <si>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</si>
  <si>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</si>
  <si>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</si>
  <si>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</si>
  <si>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</si>
  <si>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</si>
  <si>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</si>
  <si>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</si>
  <si>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</si>
  <si>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</si>
  <si>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</si>
  <si>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</si>
  <si>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</si>
  <si>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</si>
  <si>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</si>
  <si>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</si>
  <si>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</si>
  <si>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</si>
  <si>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</si>
  <si>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</si>
  <si>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</si>
  <si>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</si>
  <si>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</si>
  <si>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</si>
  <si>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</si>
  <si>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</si>
  <si>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</si>
  <si>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</si>
  <si>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</si>
  <si>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</si>
  <si>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</si>
  <si>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</si>
  <si>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</si>
  <si>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</si>
  <si>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</si>
  <si>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</si>
  <si>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</si>
  <si>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</si>
  <si>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</si>
  <si>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</si>
  <si>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</si>
  <si>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</si>
  <si>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</si>
  <si>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</si>
  <si>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</si>
  <si>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</si>
  <si>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</si>
  <si>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</si>
  <si>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</si>
  <si>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</si>
  <si>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</si>
  <si>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</si>
  <si>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</si>
  <si>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</si>
  <si>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</si>
  <si>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</si>
  <si>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</si>
  <si>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</si>
  <si>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</si>
  <si>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</si>
  <si>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</si>
  <si>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</si>
  <si>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</si>
  <si>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</si>
  <si>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</si>
  <si>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</si>
  <si>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</si>
  <si>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</si>
  <si>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</si>
  <si>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</si>
  <si>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</si>
  <si>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</si>
  <si>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</si>
  <si>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</si>
  <si>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</si>
  <si>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</si>
  <si>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</si>
  <si>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</si>
  <si>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</si>
  <si>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</si>
  <si>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</si>
  <si>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</si>
  <si>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</si>
  <si>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</si>
  <si>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</si>
  <si>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</si>
  <si>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</si>
  <si>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</si>
  <si>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</si>
  <si>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</si>
  <si>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</si>
  <si>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</si>
  <si>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</si>
  <si>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</si>
  <si>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</si>
  <si>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</si>
  <si>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</si>
  <si>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</si>
  <si>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</si>
  <si>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</si>
  <si>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</si>
  <si>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</si>
  <si>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</si>
  <si>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</si>
  <si>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</si>
  <si>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</si>
  <si>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</si>
  <si>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</si>
  <si>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</si>
  <si>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</si>
  <si>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</si>
  <si>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</si>
  <si>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</si>
  <si>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</si>
  <si>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</si>
  <si>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</si>
  <si>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</si>
  <si>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</si>
  <si>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</si>
  <si>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</si>
  <si>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</si>
  <si>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</si>
  <si>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</si>
  <si>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</si>
  <si>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</si>
  <si>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</si>
  <si>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</si>
  <si>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</si>
  <si>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</si>
  <si>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</si>
  <si>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</si>
  <si>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</si>
  <si>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</si>
  <si>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</si>
  <si>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</si>
  <si>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</si>
  <si>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</si>
  <si>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</si>
  <si>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</si>
  <si>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</si>
  <si>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</si>
  <si>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</si>
  <si>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</si>
  <si>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</si>
  <si>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</si>
  <si>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</si>
  <si>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</si>
  <si>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</si>
  <si>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</si>
  <si>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</si>
  <si>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</si>
  <si>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</si>
  <si>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</si>
  <si>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</si>
  <si>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</si>
  <si>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</si>
  <si>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</si>
  <si>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</si>
  <si>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</si>
  <si>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</si>
  <si>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</si>
  <si>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</si>
  <si>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</si>
  <si>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</si>
  <si>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</si>
  <si>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</si>
  <si>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</si>
  <si>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</si>
  <si>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</si>
  <si>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</si>
  <si>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</si>
  <si>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</si>
  <si>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</si>
  <si>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</si>
  <si>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</si>
  <si>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</si>
  <si>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</si>
  <si>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</si>
  <si>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</si>
  <si>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</si>
  <si>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</si>
  <si>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</si>
  <si>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</si>
  <si>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</si>
  <si>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</si>
  <si>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</si>
  <si>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</si>
  <si>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</si>
  <si>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</si>
  <si>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</si>
  <si>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</si>
  <si>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</si>
  <si>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</si>
  <si>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</si>
  <si>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</si>
  <si>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</si>
  <si>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</si>
  <si>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</si>
  <si>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</si>
  <si>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</si>
  <si>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</si>
  <si>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</si>
  <si>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</si>
  <si>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</si>
  <si>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</si>
  <si>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</si>
  <si>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</si>
  <si>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</si>
  <si>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</si>
  <si>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</si>
  <si>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</si>
  <si>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</si>
  <si>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</si>
  <si>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</si>
  <si>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</si>
  <si>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</si>
  <si>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</si>
  <si>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</si>
  <si>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</si>
  <si>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</si>
  <si>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</si>
  <si>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</si>
  <si>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</si>
  <si>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</si>
  <si>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</si>
  <si>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</si>
  <si>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</si>
  <si>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</si>
  <si>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</si>
  <si>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</si>
  <si>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</si>
  <si>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</si>
  <si>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</si>
  <si>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</si>
  <si>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</si>
  <si>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</si>
  <si>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</si>
  <si>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</si>
  <si>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</si>
  <si>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</si>
  <si>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</si>
  <si>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</si>
  <si>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</si>
  <si>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</si>
  <si>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</si>
  <si>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</si>
  <si>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</si>
  <si>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</si>
  <si>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</si>
  <si>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</si>
  <si>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</si>
  <si>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</si>
  <si>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</si>
  <si>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</si>
  <si>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</si>
  <si>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</si>
  <si>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</si>
  <si>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</si>
  <si>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</si>
  <si>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</si>
  <si>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</si>
  <si>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</si>
  <si>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</si>
  <si>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</si>
  <si>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</si>
  <si>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</si>
  <si>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</si>
  <si>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</si>
  <si>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</si>
  <si>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</si>
  <si>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</si>
  <si>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</si>
  <si>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</si>
  <si>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</si>
  <si>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</si>
  <si>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</si>
  <si>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</si>
  <si>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</si>
  <si>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</si>
  <si>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</si>
  <si>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</si>
  <si>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</si>
  <si>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</si>
  <si>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</si>
  <si>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</si>
  <si>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</si>
  <si>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</si>
  <si>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</si>
  <si>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</si>
  <si>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</si>
  <si>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</si>
  <si>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</si>
  <si>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</si>
  <si>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</si>
  <si>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</si>
  <si>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</si>
  <si>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</si>
  <si>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</si>
  <si>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</si>
  <si>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</si>
  <si>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</si>
  <si>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</si>
  <si>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</si>
  <si>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</si>
  <si>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</si>
  <si>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</si>
  <si>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</si>
  <si>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</si>
  <si>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</si>
  <si>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</si>
  <si>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</si>
  <si>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</si>
  <si>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</si>
  <si>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</si>
  <si>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</si>
  <si>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</si>
  <si>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</si>
  <si>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</si>
  <si>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</si>
  <si>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</si>
  <si>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</si>
  <si>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</si>
  <si>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</si>
  <si>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</si>
  <si>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</si>
  <si>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</si>
  <si>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</si>
  <si>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</si>
  <si>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</si>
  <si>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</si>
  <si>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</si>
  <si>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</si>
  <si>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</si>
  <si>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</si>
  <si>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</si>
  <si>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</si>
  <si>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</si>
  <si>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</si>
  <si>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</si>
  <si>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</si>
  <si>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</si>
  <si>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</si>
  <si>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</si>
  <si>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</si>
  <si>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</si>
  <si>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</si>
  <si>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</si>
  <si>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</si>
  <si>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</si>
  <si>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</si>
  <si>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</si>
  <si>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</si>
  <si>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</si>
  <si>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</si>
  <si>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</si>
  <si>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</si>
  <si>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</si>
  <si>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</si>
  <si>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</si>
  <si>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</si>
  <si>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</si>
  <si>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</si>
  <si>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</si>
  <si>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</si>
  <si>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</si>
  <si>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</si>
  <si>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</si>
  <si>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</si>
  <si>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</si>
  <si>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</si>
  <si>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</si>
  <si>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</si>
  <si>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</si>
  <si>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</si>
  <si>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</si>
  <si>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</si>
  <si>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</si>
  <si>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</si>
  <si>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</si>
  <si>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</si>
  <si>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</si>
  <si>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</si>
  <si>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</si>
  <si>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</si>
  <si>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</si>
  <si>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</si>
  <si>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</si>
  <si>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</si>
  <si>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</si>
  <si>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</si>
  <si>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</si>
  <si>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</si>
  <si>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</si>
  <si>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</si>
  <si>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</si>
  <si>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</si>
  <si>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</si>
  <si>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</si>
  <si>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</si>
  <si>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</si>
  <si>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</si>
  <si>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</si>
  <si>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</si>
  <si>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</si>
  <si>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</si>
  <si>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</si>
  <si>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</si>
  <si>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</si>
  <si>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</si>
  <si>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</si>
  <si>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</si>
  <si>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</si>
  <si>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</si>
  <si>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</si>
  <si>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</si>
  <si>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</si>
  <si>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</si>
  <si>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</si>
  <si>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</si>
  <si>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</si>
  <si>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</si>
  <si>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</si>
  <si>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</si>
  <si>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</si>
  <si>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</si>
  <si>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</si>
  <si>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</si>
  <si>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</si>
  <si>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</si>
  <si>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</si>
  <si>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</si>
  <si>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</si>
  <si>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</si>
  <si>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</si>
  <si>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</si>
  <si>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</si>
  <si>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</si>
  <si>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</si>
  <si>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</si>
  <si>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</si>
  <si>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</si>
  <si>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</si>
  <si>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</si>
  <si>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</si>
  <si>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</si>
  <si>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</si>
  <si>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</si>
  <si>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</si>
  <si>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</si>
  <si>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</si>
  <si>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</si>
  <si>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</si>
  <si>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</si>
  <si>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</si>
  <si>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</si>
  <si>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</si>
  <si>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</si>
  <si>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</si>
  <si>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</si>
  <si>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</si>
  <si>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</si>
  <si>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</si>
  <si>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</si>
  <si>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</si>
  <si>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</si>
  <si>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</si>
  <si>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</si>
  <si>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</si>
  <si>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</si>
  <si>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</si>
  <si>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</si>
  <si>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</si>
  <si>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</si>
  <si>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</si>
  <si>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</si>
  <si>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</si>
  <si>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</si>
  <si>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</si>
  <si>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</si>
  <si>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</si>
  <si>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</si>
  <si>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</si>
  <si>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</si>
  <si>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</si>
  <si>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</si>
  <si>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</si>
  <si>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</si>
  <si>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</si>
  <si>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</si>
  <si>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</si>
  <si>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</si>
  <si>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</si>
  <si>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</si>
  <si>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</si>
  <si>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</si>
  <si>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</si>
  <si>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</si>
  <si>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</si>
  <si>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</si>
  <si>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</si>
  <si>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</si>
  <si>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</si>
  <si>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</si>
  <si>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</si>
  <si>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</si>
  <si>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</si>
  <si>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</si>
  <si>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</si>
  <si>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</si>
  <si>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</si>
  <si>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</si>
  <si>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</si>
  <si>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</si>
  <si>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</si>
  <si>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</si>
  <si>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</si>
  <si>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</si>
  <si>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</si>
  <si>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</si>
  <si>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</si>
  <si>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</si>
  <si>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</si>
  <si>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</si>
  <si>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</si>
  <si>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</si>
  <si>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</si>
  <si>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</si>
  <si>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</si>
  <si>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</si>
  <si>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</si>
  <si>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</si>
  <si>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</si>
  <si>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</si>
  <si>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</si>
  <si>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</si>
  <si>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</si>
  <si>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</si>
  <si>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</si>
  <si>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</si>
  <si>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</si>
  <si>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</si>
  <si>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</si>
  <si>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</si>
  <si>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</si>
  <si>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</si>
  <si>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</si>
  <si>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</si>
  <si>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</si>
  <si>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</si>
  <si>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</si>
  <si>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</si>
  <si>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</si>
  <si>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</si>
  <si>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</si>
  <si>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</si>
  <si>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</si>
  <si>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</si>
  <si>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</si>
  <si>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</si>
  <si>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</si>
  <si>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</si>
  <si>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</si>
  <si>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</si>
  <si>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</si>
  <si>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</si>
  <si>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</si>
  <si>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</si>
  <si>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</si>
  <si>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</si>
  <si>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</si>
  <si>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</si>
  <si>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</si>
  <si>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</si>
  <si>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</si>
  <si>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</si>
  <si>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</si>
  <si>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</si>
  <si>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</si>
  <si>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</si>
  <si>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</si>
  <si>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</si>
  <si>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</si>
  <si>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</si>
  <si>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</si>
  <si>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</si>
  <si>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</si>
  <si>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</si>
  <si>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</si>
  <si>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</si>
  <si>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</si>
  <si>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</si>
  <si>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</si>
  <si>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</si>
  <si>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</si>
  <si>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</si>
  <si>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</si>
  <si>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</si>
  <si>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</si>
  <si>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</si>
  <si>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</si>
  <si>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</si>
  <si>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</si>
  <si>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</si>
  <si>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</si>
  <si>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</si>
  <si>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</si>
  <si>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</si>
  <si>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</si>
  <si>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</si>
  <si>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</si>
  <si>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</si>
  <si>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</si>
  <si>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</si>
  <si>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</si>
  <si>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</si>
  <si>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</si>
  <si>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</si>
  <si>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</si>
  <si>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</si>
  <si>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</si>
  <si>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</si>
  <si>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</si>
  <si>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</si>
  <si>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</si>
  <si>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</si>
  <si>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</si>
  <si>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</si>
  <si>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</si>
  <si>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</si>
  <si>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</si>
  <si>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</si>
  <si>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</si>
  <si>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</si>
  <si>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</si>
  <si>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</si>
  <si>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</si>
  <si>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</si>
  <si>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</si>
  <si>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</si>
  <si>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</si>
  <si>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</si>
  <si>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</si>
  <si>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</si>
  <si>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</si>
  <si>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</si>
  <si>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</si>
  <si>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</si>
  <si>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</si>
  <si>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</si>
  <si>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</si>
  <si>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</si>
  <si>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</si>
  <si>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</si>
  <si>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</si>
  <si>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</si>
  <si>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</si>
  <si>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</si>
  <si>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</si>
  <si>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</si>
  <si>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</si>
  <si>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</si>
  <si>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</si>
  <si>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</si>
  <si>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</si>
  <si>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</si>
  <si>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</si>
  <si>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</si>
  <si>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</si>
  <si>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</si>
  <si>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</si>
  <si>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</si>
  <si>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</si>
  <si>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</si>
  <si>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</si>
  <si>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</si>
  <si>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</si>
  <si>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</si>
  <si>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</si>
  <si>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</si>
  <si>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</si>
  <si>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</si>
  <si>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</si>
  <si>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</si>
  <si>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</si>
  <si>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</si>
  <si>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</si>
  <si>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</si>
  <si>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</si>
  <si>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</si>
  <si>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</si>
  <si>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</si>
  <si>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</si>
  <si>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</si>
  <si>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</si>
  <si>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</si>
  <si>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</si>
  <si>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</si>
  <si>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</si>
  <si>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</si>
  <si>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</si>
  <si>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</si>
  <si>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</si>
  <si>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</si>
  <si>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</si>
  <si>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</si>
  <si>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</si>
  <si>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</si>
  <si>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</si>
  <si>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</si>
  <si>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</si>
  <si>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</si>
  <si>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</si>
  <si>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</si>
  <si>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</si>
  <si>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</si>
  <si>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</si>
  <si>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</si>
  <si>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</si>
  <si>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</si>
  <si>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</si>
  <si>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</si>
  <si>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</si>
  <si>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</si>
  <si>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</si>
  <si>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</si>
  <si>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</si>
  <si>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</si>
  <si>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</si>
  <si>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</si>
  <si>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</si>
  <si>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</si>
  <si>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</si>
  <si>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</si>
  <si>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</si>
  <si>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</si>
  <si>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</si>
  <si>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</si>
  <si>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</si>
  <si>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</si>
  <si>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</si>
  <si>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</si>
  <si>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</si>
  <si>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</si>
  <si>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</si>
  <si>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</si>
  <si>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</si>
  <si>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</si>
  <si>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</si>
  <si>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</si>
  <si>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</si>
  <si>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</si>
  <si>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</si>
  <si>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</si>
  <si>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</si>
  <si>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</si>
  <si>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</si>
  <si>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</si>
  <si>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</si>
  <si>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</si>
  <si>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</si>
  <si>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</si>
  <si>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</si>
  <si>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</si>
  <si>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</si>
  <si>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</si>
  <si>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</si>
  <si>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</si>
  <si>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</si>
  <si>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</si>
  <si>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</si>
  <si>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</si>
  <si>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</si>
  <si>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</si>
  <si>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</si>
  <si>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</si>
  <si>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</si>
  <si>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</si>
  <si>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</si>
  <si>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</si>
  <si>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</si>
  <si>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</si>
  <si>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</si>
  <si>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</si>
  <si>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</si>
  <si>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</si>
  <si>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</si>
  <si>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</si>
  <si>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</si>
  <si>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</si>
  <si>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</si>
  <si>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</si>
  <si>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</si>
  <si>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</si>
  <si>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</si>
  <si>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</si>
  <si>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</si>
  <si>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</si>
  <si>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</si>
  <si>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</si>
  <si>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</si>
  <si>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</si>
  <si>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</si>
  <si>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</si>
  <si>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</si>
  <si>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</si>
  <si>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</si>
  <si>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</si>
  <si>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</si>
  <si>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</si>
  <si>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</si>
  <si>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</si>
  <si>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</si>
  <si>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</si>
  <si>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</si>
  <si>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</si>
  <si>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</si>
  <si>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</si>
  <si>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</si>
  <si>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</si>
  <si>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</si>
  <si>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</si>
  <si>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</si>
  <si>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</si>
  <si>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</si>
  <si>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</si>
  <si>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</si>
  <si>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</si>
  <si>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</si>
  <si>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</si>
  <si>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</si>
  <si>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</si>
  <si>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</si>
  <si>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</si>
  <si>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</si>
  <si>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</si>
  <si>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</si>
  <si>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</si>
  <si>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</si>
  <si>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</si>
  <si>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</si>
  <si>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</si>
  <si>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</si>
  <si>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</si>
  <si>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</si>
  <si>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</si>
  <si>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</si>
  <si>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</si>
  <si>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</si>
  <si>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</si>
  <si>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</si>
  <si>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</si>
  <si>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</si>
  <si>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</si>
  <si>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</si>
  <si>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</si>
  <si>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</si>
  <si>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</si>
  <si>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</si>
  <si>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</si>
  <si>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</si>
  <si>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</si>
  <si>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</si>
  <si>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</si>
  <si>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</si>
  <si>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</si>
  <si>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</si>
  <si>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</si>
  <si>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</si>
  <si>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</si>
  <si>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</si>
  <si>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</si>
  <si>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</si>
  <si>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</si>
  <si>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</si>
  <si>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</si>
  <si>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</si>
  <si>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</si>
  <si>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</si>
  <si>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</si>
  <si>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</si>
  <si>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</si>
  <si>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</si>
  <si>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</si>
  <si>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</si>
  <si>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</si>
  <si>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</si>
  <si>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</si>
  <si>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</si>
  <si>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</si>
  <si>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</si>
  <si>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</si>
  <si>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</si>
  <si>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</si>
  <si>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</si>
  <si>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</si>
  <si>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</si>
  <si>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</si>
  <si>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</si>
  <si>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</si>
  <si>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</si>
  <si>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</si>
  <si>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</si>
  <si>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</si>
  <si>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</si>
  <si>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</si>
  <si>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</si>
  <si>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</si>
  <si>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</si>
  <si>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</si>
  <si>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</si>
  <si>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</si>
  <si>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</si>
  <si>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</si>
  <si>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</si>
  <si>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</si>
  <si>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</si>
  <si>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</si>
  <si>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</si>
  <si>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</si>
  <si>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</si>
  <si>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</si>
  <si>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</si>
  <si>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</si>
  <si>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</si>
  <si>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</si>
  <si>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</si>
  <si>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</si>
  <si>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</si>
  <si>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</si>
  <si>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</si>
  <si>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</si>
  <si>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</si>
  <si>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</si>
  <si>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</si>
  <si>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</si>
  <si>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</si>
  <si>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</si>
  <si>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</si>
  <si>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</si>
  <si>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</si>
  <si>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</si>
  <si>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</si>
  <si>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</si>
  <si>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</si>
  <si>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</si>
  <si>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</si>
  <si>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</si>
  <si>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</si>
  <si>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</si>
  <si>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</si>
  <si>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</si>
  <si>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</si>
  <si>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</si>
  <si>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</si>
  <si>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</si>
  <si>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</si>
  <si>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</si>
  <si>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</si>
  <si>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</si>
  <si>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</si>
  <si>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</si>
  <si>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</si>
  <si>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</si>
  <si>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</si>
  <si>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</si>
  <si>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</si>
  <si>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</si>
  <si>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</si>
  <si>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</si>
  <si>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</si>
  <si>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</si>
  <si>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</si>
  <si>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</si>
  <si>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</si>
  <si>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</si>
  <si>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</si>
  <si>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</si>
  <si>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</si>
  <si>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</si>
  <si>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</si>
  <si>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</si>
  <si>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</si>
  <si>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</si>
  <si>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</si>
  <si>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</si>
  <si>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</si>
  <si>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</si>
  <si>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</si>
  <si>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</si>
  <si>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</si>
  <si>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</si>
  <si>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</si>
  <si>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</si>
  <si>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</si>
  <si>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</si>
  <si>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</si>
  <si>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</si>
  <si>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</si>
  <si>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</si>
  <si>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</si>
  <si>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</si>
  <si>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</si>
  <si>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</si>
  <si>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</si>
  <si>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</si>
  <si>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</si>
  <si>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</si>
  <si>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</si>
  <si>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</si>
  <si>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</si>
  <si>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</si>
  <si>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</si>
  <si>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</si>
  <si>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</si>
  <si>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</si>
  <si>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</si>
  <si>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</si>
  <si>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</si>
  <si>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</si>
  <si>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</si>
  <si>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</si>
  <si>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</si>
  <si>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</si>
  <si>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</si>
  <si>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</si>
  <si>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</si>
  <si>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</si>
  <si>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</si>
  <si>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</si>
  <si>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</si>
  <si>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</si>
  <si>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</si>
  <si>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</si>
  <si>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</si>
  <si>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</si>
  <si>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</si>
  <si>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</si>
  <si>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</si>
  <si>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</si>
  <si>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</si>
  <si>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</si>
  <si>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</si>
  <si>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</si>
  <si>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</si>
  <si>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</si>
  <si>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</si>
  <si>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</si>
  <si>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</si>
  <si>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</si>
  <si>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</si>
  <si>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</si>
  <si>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</si>
  <si>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</si>
  <si>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</si>
  <si>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</si>
  <si>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</si>
  <si>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</si>
  <si>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</si>
  <si>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</si>
  <si>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</si>
  <si>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</si>
  <si>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</si>
  <si>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</si>
  <si>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</si>
  <si>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</si>
  <si>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</si>
  <si>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</si>
  <si>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</si>
  <si>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</si>
  <si>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</si>
  <si>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</si>
  <si>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</si>
  <si>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</si>
  <si>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</si>
  <si>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</si>
  <si>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</si>
  <si>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</si>
  <si>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</si>
  <si>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</si>
  <si>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</si>
  <si>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</si>
  <si>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</si>
  <si>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</si>
  <si>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</si>
  <si>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</si>
  <si>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</si>
  <si>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</si>
  <si>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</si>
  <si>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</si>
  <si>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</si>
  <si>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</si>
  <si>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</si>
  <si>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</si>
  <si>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</si>
  <si>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</si>
  <si>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</si>
  <si>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</si>
  <si>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</si>
  <si>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</si>
  <si>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</si>
  <si>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</si>
  <si>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</si>
  <si>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</si>
  <si>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</si>
  <si>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</si>
  <si>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</si>
  <si>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</si>
  <si>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</si>
  <si>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</si>
  <si>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</si>
  <si>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</si>
  <si>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</si>
  <si>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</si>
  <si>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</si>
  <si>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</si>
  <si>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</si>
  <si>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</si>
  <si>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</si>
  <si>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</si>
  <si>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</si>
  <si>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</si>
  <si>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</si>
  <si>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</si>
  <si>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</si>
  <si>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</si>
  <si>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</si>
  <si>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</si>
  <si>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</si>
  <si>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</si>
  <si>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</si>
  <si>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</si>
  <si>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</si>
  <si>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</si>
  <si>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</si>
  <si>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</si>
  <si>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</si>
  <si>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</si>
  <si>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</si>
  <si>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</si>
  <si>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</si>
  <si>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</si>
  <si>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</si>
  <si>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</si>
  <si>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</si>
  <si>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</si>
  <si>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</si>
  <si>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</si>
  <si>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</si>
  <si>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</si>
  <si>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</si>
  <si>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</si>
  <si>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</si>
  <si>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</si>
  <si>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</si>
  <si>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</si>
  <si>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</si>
  <si>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</si>
  <si>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</si>
  <si>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</si>
  <si>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</si>
  <si>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</si>
  <si>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</si>
  <si>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</si>
  <si>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</si>
  <si>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</si>
  <si>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</si>
  <si>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</si>
  <si>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</si>
  <si>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</si>
  <si>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</si>
  <si>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</si>
  <si>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</si>
  <si>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</si>
  <si>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</si>
  <si>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</si>
  <si>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</si>
  <si>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</si>
  <si>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</si>
  <si>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</si>
  <si>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</si>
  <si>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</si>
  <si>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</si>
  <si>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</si>
  <si>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</si>
  <si>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</si>
  <si>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</si>
  <si>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</si>
  <si>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</si>
  <si>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</si>
  <si>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</si>
  <si>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</si>
  <si>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</si>
  <si>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</si>
  <si>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</si>
  <si>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</si>
  <si>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</si>
  <si>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</si>
  <si>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</si>
  <si>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</si>
  <si>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</si>
  <si>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</si>
  <si>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</si>
  <si>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</si>
  <si>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</si>
  <si>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</si>
  <si>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</si>
  <si>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</si>
  <si>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</si>
  <si>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</si>
  <si>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</si>
  <si>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</si>
  <si>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</si>
  <si>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</si>
  <si>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</si>
  <si>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</si>
  <si>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</si>
  <si>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</si>
  <si>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</si>
  <si>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</si>
  <si>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</si>
  <si>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</si>
  <si>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</si>
  <si>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</si>
  <si>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</si>
  <si>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</si>
  <si>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</si>
  <si>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</si>
  <si>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</si>
  <si>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</si>
  <si>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</si>
  <si>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</si>
  <si>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</si>
  <si>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</si>
  <si>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</si>
  <si>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</si>
  <si>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</si>
  <si>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</si>
  <si>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</si>
  <si>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</si>
  <si>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</si>
  <si>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</si>
  <si>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</si>
  <si>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</si>
  <si>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</si>
  <si>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</si>
  <si>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</si>
  <si>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</si>
  <si>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</si>
  <si>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</si>
  <si>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</si>
  <si>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</si>
  <si>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</si>
  <si>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</si>
  <si>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</si>
  <si>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</si>
  <si>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</si>
  <si>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</si>
  <si>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</si>
  <si>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</si>
  <si>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</si>
  <si>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</si>
  <si>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</si>
  <si>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</si>
  <si>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</si>
  <si>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</si>
  <si>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</si>
  <si>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</si>
  <si>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</si>
  <si>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</si>
  <si>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</si>
  <si>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</si>
  <si>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</si>
  <si>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</si>
  <si>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</si>
  <si>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</si>
  <si>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</si>
  <si>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</si>
  <si>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</si>
  <si>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</si>
  <si>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</si>
  <si>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</si>
  <si>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</si>
  <si>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</si>
  <si>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</si>
  <si>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</si>
  <si>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</si>
  <si>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</si>
  <si>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</si>
  <si>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</si>
  <si>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</si>
  <si>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</si>
  <si>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</si>
  <si>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</si>
  <si>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</si>
  <si>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</si>
  <si>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</si>
  <si>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</si>
  <si>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</si>
  <si>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</si>
  <si>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</si>
  <si>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</si>
  <si>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</si>
  <si>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</si>
  <si>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</si>
  <si>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</si>
  <si>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</si>
  <si>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</si>
  <si>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</si>
  <si>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</si>
  <si>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</si>
  <si>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</si>
  <si>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</si>
  <si>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</si>
  <si>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</si>
  <si>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</si>
  <si>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</si>
  <si>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</si>
  <si>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</si>
  <si>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</si>
  <si>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</si>
  <si>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</si>
  <si>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</si>
  <si>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</si>
  <si>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</si>
  <si>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</si>
  <si>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</si>
  <si>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</si>
  <si>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</si>
  <si>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</si>
  <si>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</si>
  <si>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</si>
  <si>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</si>
  <si>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</si>
  <si>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</si>
  <si>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</si>
  <si>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</si>
  <si>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</si>
  <si>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</si>
  <si>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</si>
  <si>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</si>
  <si>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</si>
  <si>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</si>
  <si>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</si>
  <si>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</si>
  <si>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</si>
  <si>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</si>
  <si>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</si>
  <si>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</si>
  <si>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</si>
  <si>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</si>
  <si>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</si>
  <si>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</si>
  <si>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</si>
  <si>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</si>
  <si>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</si>
  <si>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</si>
  <si>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</si>
  <si>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</si>
  <si>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</si>
  <si>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</si>
  <si>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</si>
  <si>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</si>
  <si>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</si>
  <si>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</si>
  <si>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</si>
  <si>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</si>
  <si>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</si>
  <si>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</si>
  <si>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</si>
  <si>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</si>
  <si>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</si>
  <si>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</si>
  <si>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</si>
  <si>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</si>
  <si>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</si>
  <si>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</si>
  <si>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</si>
  <si>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</si>
  <si>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</si>
  <si>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</si>
  <si>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</si>
  <si>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</si>
  <si>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</si>
  <si>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</si>
  <si>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</si>
  <si>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</si>
  <si>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</si>
  <si>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</si>
  <si>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</si>
  <si>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</si>
  <si>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</si>
  <si>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</si>
  <si>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</si>
  <si>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</si>
  <si>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</si>
  <si>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</si>
  <si>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</si>
  <si>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</si>
  <si>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</si>
  <si>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</si>
  <si>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</si>
  <si>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</si>
  <si>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</si>
  <si>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</si>
  <si>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</si>
  <si>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</si>
  <si>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</si>
  <si>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</si>
  <si>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</si>
  <si>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</si>
  <si>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</si>
  <si>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</si>
  <si>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</si>
  <si>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</si>
  <si>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</si>
  <si>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</si>
  <si>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</si>
  <si>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</si>
  <si>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</si>
  <si>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</si>
  <si>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</si>
  <si>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</si>
  <si>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</si>
  <si>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</si>
  <si>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</si>
  <si>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</si>
  <si>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</si>
  <si>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</si>
  <si>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</si>
  <si>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</si>
  <si>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</si>
  <si>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</si>
  <si>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</si>
  <si>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</si>
  <si>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</si>
  <si>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</si>
  <si>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</si>
  <si>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</si>
  <si>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</si>
  <si>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</si>
  <si>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</si>
  <si>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</si>
  <si>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</si>
  <si>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</si>
  <si>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</si>
  <si>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</si>
  <si>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</si>
  <si>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</si>
  <si>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</si>
  <si>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</si>
  <si>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</si>
  <si>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</si>
  <si>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</si>
  <si>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</si>
  <si>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</si>
  <si>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</si>
  <si>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</si>
  <si>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</si>
  <si>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</si>
  <si>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</si>
  <si>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</si>
  <si>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</si>
  <si>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</si>
  <si>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</si>
  <si>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</si>
  <si>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</si>
  <si>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</si>
  <si>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</si>
  <si>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</si>
  <si>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</si>
  <si>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</si>
  <si>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</si>
  <si>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</si>
  <si>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</si>
  <si>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</si>
  <si>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</si>
  <si>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</si>
  <si>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</si>
  <si>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</si>
  <si>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</si>
  <si>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</si>
  <si>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</si>
  <si>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</si>
  <si>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</si>
  <si>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</si>
  <si>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</si>
  <si>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</si>
  <si>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</si>
  <si>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</si>
  <si>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</si>
  <si>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</si>
  <si>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</si>
  <si>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</si>
  <si>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</si>
  <si>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</si>
  <si>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</si>
  <si>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</si>
  <si>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</si>
  <si>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</si>
  <si>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</si>
  <si>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</si>
  <si>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</si>
  <si>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</si>
  <si>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</si>
  <si>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</si>
  <si>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</si>
  <si>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</si>
  <si>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</si>
  <si>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</si>
  <si>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</si>
  <si>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</si>
  <si>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</si>
  <si>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</si>
  <si>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</si>
  <si>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</si>
  <si>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</si>
  <si>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</si>
  <si>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</si>
  <si>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</si>
  <si>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</si>
  <si>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</si>
  <si>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</si>
  <si>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</si>
  <si>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</si>
  <si>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</si>
  <si>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</si>
  <si>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</si>
  <si>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</si>
  <si>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</si>
  <si>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</si>
  <si>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</si>
  <si>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</si>
  <si>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</si>
  <si>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</si>
  <si>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</si>
  <si>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</si>
  <si>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</si>
  <si>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</si>
  <si>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</si>
  <si>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</si>
  <si>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</si>
  <si>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</si>
  <si>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</si>
  <si>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</si>
  <si>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</si>
  <si>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</si>
  <si>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</si>
  <si>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</si>
  <si>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</si>
  <si>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</si>
  <si>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</si>
  <si>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</si>
  <si>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</si>
  <si>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</si>
  <si>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</si>
  <si>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</si>
  <si>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</si>
  <si>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</si>
  <si>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</si>
  <si>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</si>
  <si>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</si>
  <si>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</si>
  <si>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</si>
  <si>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</si>
  <si>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</si>
  <si>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</si>
  <si>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</si>
  <si>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</si>
  <si>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</si>
  <si>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</si>
  <si>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</si>
  <si>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</si>
  <si>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</si>
  <si>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</si>
  <si>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</si>
  <si>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</si>
  <si>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</si>
  <si>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</si>
  <si>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</si>
  <si>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</si>
  <si>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</si>
  <si>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</si>
  <si>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</si>
  <si>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</si>
  <si>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</si>
  <si>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</si>
  <si>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</si>
  <si>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</si>
  <si>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</si>
  <si>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</si>
  <si>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</si>
  <si>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</si>
  <si>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</si>
  <si>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</si>
  <si>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</si>
  <si>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</si>
  <si>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</si>
  <si>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</si>
  <si>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</si>
  <si>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</si>
  <si>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</si>
  <si>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</si>
  <si>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</si>
  <si>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</si>
  <si>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</si>
  <si>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</si>
  <si>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</si>
  <si>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</si>
  <si>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</si>
  <si>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</si>
  <si>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</si>
  <si>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</si>
  <si>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</si>
  <si>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</si>
  <si>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</si>
  <si>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</si>
  <si>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</si>
  <si>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</si>
  <si>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</si>
  <si>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</si>
  <si>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</si>
  <si>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</si>
  <si>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</si>
  <si>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</si>
  <si>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</si>
  <si>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</si>
  <si>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</si>
  <si>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</si>
  <si>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</si>
  <si>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</si>
  <si>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</si>
  <si>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</si>
  <si>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</si>
  <si>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</si>
  <si>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</si>
  <si>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</si>
  <si>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</si>
  <si>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</si>
  <si>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</si>
  <si>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</si>
  <si>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</si>
  <si>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</si>
  <si>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</si>
  <si>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</si>
  <si>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</si>
  <si>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</si>
  <si>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</si>
  <si>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</si>
  <si>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</si>
  <si>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</si>
  <si>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</si>
  <si>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</si>
  <si>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</si>
  <si>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</si>
  <si>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</si>
  <si>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</si>
  <si>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</si>
  <si>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</si>
  <si>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</si>
  <si>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</si>
  <si>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</si>
  <si>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</si>
  <si>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</si>
  <si>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</si>
  <si>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</si>
  <si>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</si>
  <si>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</si>
  <si>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</si>
  <si>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</si>
  <si>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</si>
  <si>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</si>
  <si>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</si>
  <si>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</si>
  <si>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</si>
  <si>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</si>
  <si>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</si>
  <si>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</si>
  <si>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</si>
  <si>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</si>
  <si>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</si>
  <si>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</si>
  <si>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</si>
  <si>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</si>
  <si>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</si>
  <si>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</si>
  <si>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</si>
  <si>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</si>
  <si>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</si>
  <si>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</si>
  <si>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</si>
  <si>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</si>
  <si>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</si>
  <si>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</si>
  <si>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</si>
  <si>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</si>
  <si>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</si>
  <si>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</si>
  <si>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</si>
  <si>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</si>
  <si>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</si>
  <si>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</si>
  <si>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</si>
  <si>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</si>
  <si>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</si>
  <si>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</si>
  <si>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</si>
  <si>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</si>
  <si>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</si>
  <si>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</si>
  <si>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</si>
  <si>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</si>
  <si>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</si>
  <si>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</si>
  <si>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</si>
  <si>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</si>
  <si>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</si>
  <si>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</si>
  <si>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</si>
  <si>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</si>
  <si>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</si>
  <si>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</si>
  <si>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</si>
  <si>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</si>
  <si>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</si>
  <si>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</si>
  <si>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</si>
  <si>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</si>
  <si>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</si>
  <si>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</si>
  <si>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</si>
  <si>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</si>
  <si>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</si>
  <si>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</si>
  <si>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</si>
  <si>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</si>
  <si>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</si>
  <si>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</si>
  <si>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</si>
  <si>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</si>
  <si>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</si>
  <si>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</si>
  <si>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</si>
  <si>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</si>
  <si>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</si>
  <si>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</si>
  <si>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</si>
  <si>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</si>
  <si>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</si>
  <si>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</si>
  <si>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</si>
  <si>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</si>
  <si>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</si>
  <si>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</si>
  <si>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</si>
  <si>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</si>
  <si>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</si>
  <si>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</si>
  <si>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</si>
  <si>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</si>
  <si>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</si>
  <si>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</si>
  <si>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</si>
  <si>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</si>
  <si>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</si>
  <si>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</si>
  <si>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</si>
  <si>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</si>
  <si>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</si>
  <si>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</si>
  <si>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</si>
  <si>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</si>
  <si>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</si>
  <si>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</si>
  <si>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</si>
  <si>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</si>
  <si>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</si>
  <si>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</si>
  <si>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</si>
  <si>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</si>
  <si>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</si>
  <si>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</si>
  <si>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</si>
  <si>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</si>
  <si>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</si>
  <si>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</si>
  <si>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</si>
  <si>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</si>
  <si>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</si>
  <si>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</si>
  <si>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</si>
  <si>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</si>
  <si>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</si>
  <si>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</si>
  <si>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</si>
  <si>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</si>
  <si>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</si>
  <si>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</si>
  <si>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</si>
  <si>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</si>
  <si>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</si>
  <si>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</si>
  <si>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</si>
  <si>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</si>
  <si>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</si>
  <si>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</si>
  <si>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</si>
  <si>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</si>
  <si>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</si>
  <si>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</si>
  <si>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</si>
  <si>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</si>
  <si>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</si>
  <si>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</si>
  <si>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</si>
  <si>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</si>
  <si>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</si>
  <si>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</si>
  <si>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</si>
  <si>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</si>
  <si>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</si>
  <si>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</si>
  <si>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</si>
  <si>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</si>
  <si>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</si>
  <si>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</si>
  <si>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</si>
  <si>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</si>
  <si>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</si>
  <si>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</si>
  <si>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</si>
  <si>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</si>
  <si>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</si>
  <si>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</si>
  <si>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</si>
  <si>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</si>
  <si>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</si>
  <si>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</si>
  <si>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</si>
  <si>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</si>
  <si>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</si>
  <si>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</si>
  <si>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</si>
  <si>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</si>
  <si>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</si>
  <si>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</si>
  <si>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</si>
  <si>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</si>
  <si>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</si>
  <si>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</si>
  <si>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</si>
  <si>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</si>
  <si>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</si>
  <si>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</si>
  <si>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</si>
  <si>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</si>
  <si>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</si>
  <si>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</si>
  <si>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</si>
  <si>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</si>
  <si>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</si>
  <si>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</si>
  <si>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</si>
  <si>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</si>
  <si>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</si>
  <si>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</si>
  <si>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</si>
  <si>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</si>
  <si>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</si>
  <si>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</si>
  <si>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</si>
  <si>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</si>
  <si>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</si>
  <si>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</si>
  <si>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</si>
  <si>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</si>
  <si>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</si>
  <si>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</si>
  <si>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</si>
  <si>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</si>
  <si>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</si>
  <si>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</si>
  <si>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</si>
  <si>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</si>
  <si>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</si>
  <si>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</si>
  <si>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</si>
  <si>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</si>
  <si>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</si>
  <si>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</si>
  <si>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</si>
  <si>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</si>
  <si>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</si>
  <si>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</si>
  <si>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</si>
  <si>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</si>
  <si>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</si>
  <si>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</si>
  <si>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</si>
  <si>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</si>
  <si>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</si>
  <si>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</si>
  <si>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</si>
  <si>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</si>
  <si>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</si>
  <si>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</si>
  <si>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</si>
  <si>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</si>
  <si>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</si>
  <si>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</si>
  <si>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</si>
  <si>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</si>
  <si>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</si>
  <si>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</si>
  <si>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</si>
  <si>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</si>
  <si>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</si>
  <si>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</si>
  <si>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</si>
  <si>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</si>
  <si>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</si>
  <si>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</si>
  <si>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</si>
  <si>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</si>
  <si>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</si>
  <si>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</si>
  <si>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</si>
  <si>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</si>
  <si>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</si>
  <si>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</si>
  <si>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</si>
  <si>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</si>
  <si>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</si>
  <si>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</si>
  <si>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</si>
  <si>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</si>
  <si>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</si>
  <si>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</si>
  <si>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</si>
  <si>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</si>
  <si>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</si>
  <si>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</si>
  <si>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</si>
  <si>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</si>
  <si>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</si>
  <si>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</si>
  <si>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</si>
  <si>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</si>
  <si>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</si>
  <si>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</si>
  <si>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</si>
  <si>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</si>
  <si>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</si>
  <si>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</si>
  <si>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</si>
  <si>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</si>
  <si>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</si>
  <si>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</si>
  <si>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</si>
  <si>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</si>
  <si>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</si>
  <si>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</si>
  <si>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</si>
  <si>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</si>
  <si>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</si>
  <si>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</si>
  <si>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</si>
  <si>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</si>
  <si>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</si>
  <si>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</si>
  <si>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</si>
  <si>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</si>
  <si>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</si>
  <si>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</si>
  <si>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</si>
  <si>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</si>
  <si>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</si>
  <si>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</si>
  <si>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</si>
  <si>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</si>
  <si>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</si>
  <si>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</si>
  <si>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</si>
  <si>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</si>
  <si>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</si>
  <si>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</si>
  <si>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</si>
  <si>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</si>
  <si>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</si>
  <si>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</si>
  <si>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</si>
  <si>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</si>
  <si>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</si>
  <si>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</si>
  <si>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</si>
  <si>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</si>
  <si>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</si>
  <si>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</si>
  <si>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</si>
  <si>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</si>
  <si>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</si>
  <si>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</si>
  <si>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</si>
  <si>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</si>
  <si>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</si>
  <si>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</si>
  <si>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</si>
  <si>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</si>
  <si>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</si>
  <si>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</si>
  <si>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</si>
  <si>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</si>
  <si>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</si>
  <si>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</si>
  <si>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</si>
  <si>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</si>
  <si>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</si>
  <si>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</si>
  <si>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</si>
  <si>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</si>
  <si>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</si>
  <si>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</si>
  <si>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</si>
  <si>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</si>
  <si>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</si>
  <si>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</si>
  <si>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</si>
  <si>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</si>
  <si>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</si>
  <si>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</si>
  <si>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</si>
  <si>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</si>
  <si>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</si>
  <si>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</si>
  <si>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</si>
  <si>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</si>
  <si>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</si>
  <si>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</si>
  <si>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</si>
  <si>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</si>
  <si>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</si>
  <si>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</si>
  <si>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</si>
  <si>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</si>
  <si>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</si>
  <si>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</si>
  <si>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</si>
  <si>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</si>
  <si>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</si>
  <si>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</si>
  <si>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</si>
  <si>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</si>
  <si>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</si>
  <si>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</si>
  <si>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</si>
  <si>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</si>
  <si>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</si>
  <si>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</si>
  <si>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</si>
  <si>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</si>
  <si>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</si>
  <si>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</si>
  <si>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</si>
  <si>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</si>
  <si>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</si>
  <si>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</si>
  <si>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</si>
  <si>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</si>
  <si>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</si>
  <si>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</si>
  <si>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</si>
  <si>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</si>
  <si>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</si>
  <si>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</si>
  <si>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</si>
  <si>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</si>
  <si>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</si>
  <si>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</si>
  <si>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</si>
  <si>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</si>
  <si>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</si>
  <si>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</si>
  <si>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</si>
  <si>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</si>
  <si>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</si>
  <si>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</si>
  <si>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</si>
  <si>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</si>
  <si>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</si>
  <si>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</si>
  <si>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</si>
  <si>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</si>
  <si>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</si>
  <si>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</si>
  <si>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</si>
  <si>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</si>
  <si>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</si>
  <si>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</si>
  <si>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</si>
  <si>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</si>
  <si>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</si>
  <si>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</si>
  <si>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</si>
  <si>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</si>
  <si>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</si>
  <si>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</si>
  <si>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</si>
  <si>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</si>
  <si>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</si>
  <si>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</si>
  <si>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</si>
  <si>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</si>
  <si>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</si>
  <si>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</si>
  <si>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</si>
  <si>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</si>
  <si>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</si>
  <si>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</si>
  <si>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</si>
  <si>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</si>
  <si>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</si>
  <si>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</si>
  <si>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</si>
  <si>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</si>
  <si>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</si>
  <si>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</si>
  <si>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</si>
  <si>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</si>
  <si>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</si>
  <si>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</si>
  <si>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</si>
  <si>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</si>
  <si>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</si>
  <si>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</si>
  <si>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</si>
  <si>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</si>
  <si>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</si>
  <si>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</si>
  <si>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</si>
  <si>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</si>
  <si>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</si>
  <si>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</si>
  <si>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</si>
  <si>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</si>
  <si>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</si>
  <si>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</si>
  <si>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</si>
  <si>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</si>
  <si>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</si>
  <si>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</si>
  <si>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</si>
  <si>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</si>
  <si>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</si>
  <si>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</si>
  <si>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</si>
  <si>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</si>
  <si>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</si>
  <si>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</si>
  <si>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</si>
  <si>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</si>
  <si>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</si>
  <si>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</si>
  <si>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</si>
  <si>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</si>
  <si>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</si>
  <si>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</si>
  <si>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</si>
  <si>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</si>
  <si>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</si>
  <si>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</si>
  <si>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</si>
  <si>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</si>
  <si>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</si>
  <si>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</si>
  <si>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</si>
  <si>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</si>
  <si>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</si>
  <si>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</si>
  <si>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</si>
  <si>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</si>
  <si>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</si>
  <si>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</si>
  <si>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</si>
  <si>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</si>
  <si>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</si>
  <si>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</si>
  <si>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</si>
  <si>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</si>
  <si>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</si>
  <si>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</si>
  <si>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</si>
  <si>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</si>
  <si>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</si>
  <si>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</si>
  <si>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</si>
  <si>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</si>
  <si>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</si>
  <si>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</si>
  <si>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</si>
  <si>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</si>
  <si>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</si>
  <si>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</si>
  <si>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</si>
  <si>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</si>
  <si>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</si>
  <si>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</si>
  <si>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</si>
  <si>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</si>
  <si>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</si>
  <si>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</si>
  <si>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</si>
  <si>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</si>
  <si>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</si>
  <si>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</si>
  <si>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</si>
  <si>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</si>
  <si>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</si>
  <si>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</si>
  <si>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</si>
  <si>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</si>
  <si>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</si>
  <si>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</si>
  <si>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</si>
  <si>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</si>
  <si>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</si>
  <si>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</si>
  <si>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</si>
  <si>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</si>
  <si>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</si>
  <si>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</si>
  <si>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</si>
  <si>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</si>
  <si>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</si>
  <si>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</si>
  <si>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</si>
  <si>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</si>
  <si>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</si>
  <si>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</si>
  <si>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</si>
  <si>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</si>
  <si>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</si>
  <si>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</si>
  <si>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</si>
  <si>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</si>
  <si>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</si>
  <si>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</si>
  <si>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</si>
  <si>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</si>
  <si>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</si>
  <si>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</si>
  <si>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</si>
  <si>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</si>
  <si>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</si>
  <si>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</si>
  <si>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</si>
  <si>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</si>
  <si>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</si>
  <si>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</si>
  <si>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</si>
  <si>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</si>
  <si>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</si>
  <si>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</si>
  <si>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</si>
  <si>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</si>
  <si>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</si>
  <si>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</si>
  <si>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</si>
  <si>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</si>
  <si>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</si>
  <si>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</si>
  <si>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</si>
  <si>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</si>
  <si>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</si>
  <si>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</si>
  <si>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</si>
  <si>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</si>
  <si>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</si>
  <si>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</si>
  <si>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</si>
  <si>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</si>
  <si>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</si>
  <si>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</si>
  <si>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</si>
  <si>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</si>
  <si>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</si>
  <si>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</si>
  <si>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</si>
  <si>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</si>
  <si>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</si>
  <si>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</si>
  <si>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</si>
  <si>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</si>
  <si>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</si>
  <si>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</si>
  <si>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</si>
  <si>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</si>
  <si>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</si>
  <si>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</si>
  <si>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</si>
  <si>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</si>
  <si>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</si>
  <si>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</si>
  <si>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</si>
  <si>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</si>
  <si>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</si>
  <si>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</si>
  <si>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</si>
  <si>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</si>
  <si>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</si>
  <si>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</si>
  <si>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</si>
  <si>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</si>
  <si>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</si>
  <si>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</si>
  <si>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</si>
  <si>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</si>
  <si>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</si>
  <si>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</si>
  <si>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</si>
  <si>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</si>
  <si>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</si>
  <si>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</si>
  <si>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</si>
  <si>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</si>
  <si>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</si>
  <si>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</si>
  <si>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</si>
  <si>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</si>
  <si>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</si>
  <si>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</si>
  <si>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</si>
  <si>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</si>
  <si>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</si>
  <si>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</si>
  <si>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</si>
  <si>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</si>
  <si>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</si>
  <si>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</si>
  <si>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</si>
  <si>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</si>
  <si>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</si>
  <si>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</si>
  <si>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</si>
  <si>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</si>
  <si>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</si>
  <si>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</si>
  <si>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</si>
  <si>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</si>
  <si>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</si>
  <si>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</si>
  <si>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</si>
  <si>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</si>
  <si>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</si>
  <si>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</si>
  <si>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</si>
  <si>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</si>
  <si>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</si>
  <si>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</si>
  <si>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</si>
  <si>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</si>
  <si>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</si>
  <si>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</si>
  <si>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</si>
  <si>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</si>
  <si>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</si>
  <si>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</si>
  <si>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</si>
  <si>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</si>
  <si>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</si>
  <si>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</si>
  <si>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</si>
  <si>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</si>
  <si>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</si>
  <si>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</si>
  <si>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</si>
  <si>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</si>
  <si>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</si>
  <si>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</si>
  <si>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</si>
  <si>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</si>
  <si>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</si>
  <si>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</si>
  <si>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</si>
  <si>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</si>
  <si>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</si>
  <si>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</si>
  <si>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</si>
  <si>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</si>
  <si>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</si>
  <si>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</si>
  <si>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</si>
  <si>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</si>
  <si>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</si>
  <si>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</si>
  <si>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</si>
  <si>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</si>
  <si>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</si>
  <si>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</si>
  <si>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</si>
  <si>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</si>
  <si>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</si>
  <si>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</si>
  <si>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</si>
  <si>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</si>
  <si>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</si>
  <si>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</si>
  <si>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</si>
  <si>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</si>
  <si>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</si>
  <si>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</si>
  <si>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</si>
  <si>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</si>
  <si>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</si>
  <si>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</si>
  <si>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</si>
  <si>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</si>
  <si>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</si>
  <si>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</si>
  <si>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</si>
  <si>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</si>
  <si>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</si>
  <si>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</si>
  <si>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</si>
  <si>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</si>
  <si>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</si>
  <si>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</si>
  <si>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</si>
  <si>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</si>
  <si>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</si>
  <si>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</si>
  <si>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</si>
  <si>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</si>
  <si>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</si>
  <si>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</si>
  <si>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</si>
  <si>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</si>
  <si>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</si>
  <si>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</si>
  <si>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</si>
  <si>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</si>
  <si>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</si>
  <si>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</si>
  <si>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</si>
  <si>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</si>
  <si>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</si>
  <si>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</si>
  <si>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</si>
  <si>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</si>
  <si>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</si>
  <si>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</si>
  <si>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</si>
  <si>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</si>
  <si>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</si>
  <si>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</si>
  <si>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</si>
  <si>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</si>
  <si>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</si>
  <si>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</si>
  <si>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</si>
  <si>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</si>
  <si>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</si>
  <si>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</si>
  <si>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</si>
  <si>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</si>
  <si>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</si>
  <si>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</si>
  <si>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</si>
  <si>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</si>
  <si>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</si>
  <si>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</si>
  <si>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</si>
  <si>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</si>
  <si>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</si>
  <si>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</si>
  <si>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</si>
  <si>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</si>
  <si>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</si>
  <si>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</si>
  <si>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</si>
  <si>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</si>
  <si>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</si>
  <si>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</si>
  <si>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</si>
  <si>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</si>
  <si>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</si>
  <si>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</si>
  <si>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</si>
  <si>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</si>
  <si>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</si>
  <si>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</si>
  <si>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</si>
  <si>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</si>
  <si>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</si>
  <si>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</si>
  <si>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</si>
  <si>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</si>
  <si>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</si>
  <si>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</si>
  <si>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</si>
  <si>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</si>
  <si>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</si>
  <si>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</si>
  <si>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</si>
  <si>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</si>
  <si>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</si>
  <si>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</si>
  <si>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</si>
  <si>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</si>
  <si>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</si>
  <si>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</si>
  <si>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</si>
  <si>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</si>
  <si>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</si>
  <si>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</si>
  <si>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</si>
  <si>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</si>
  <si>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</si>
  <si>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</si>
  <si>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</si>
  <si>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</si>
  <si>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</si>
  <si>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</si>
  <si>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</si>
  <si>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</si>
  <si>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</si>
  <si>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</si>
  <si>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</si>
  <si>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</si>
  <si>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</si>
  <si>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</si>
  <si>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</si>
  <si>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</si>
  <si>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</si>
  <si>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</si>
  <si>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</si>
  <si>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</si>
  <si>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</si>
  <si>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</si>
  <si>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</si>
  <si>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</si>
  <si>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</si>
  <si>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</si>
  <si>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</si>
  <si>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</si>
  <si>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</si>
  <si>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</si>
  <si>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</si>
  <si>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</si>
  <si>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</si>
  <si>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</si>
  <si>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</si>
  <si>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</si>
  <si>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</si>
  <si>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</si>
  <si>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</si>
  <si>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</si>
  <si>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</si>
  <si>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</si>
  <si>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</si>
  <si>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</si>
  <si>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</si>
  <si>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</si>
  <si>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</si>
  <si>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</si>
  <si>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</si>
  <si>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</si>
  <si>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</si>
  <si>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</si>
  <si>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</si>
  <si>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</si>
  <si>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</si>
  <si>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</si>
  <si>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</si>
  <si>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</si>
  <si>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</si>
  <si>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</si>
  <si>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</si>
  <si>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</si>
  <si>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</si>
  <si>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</si>
  <si>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</si>
  <si>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</si>
  <si>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</si>
  <si>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</si>
  <si>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</si>
  <si>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</si>
  <si>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</si>
  <si>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</si>
  <si>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</si>
  <si>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</si>
  <si>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</si>
  <si>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</si>
  <si>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</si>
  <si>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</si>
  <si>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</si>
  <si>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</si>
  <si>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</si>
  <si>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</si>
  <si>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</si>
  <si>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</si>
  <si>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</si>
  <si>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</si>
  <si>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</si>
  <si>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</si>
  <si>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</si>
  <si>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</si>
  <si>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</si>
  <si>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</si>
  <si>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</si>
  <si>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</si>
  <si>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</si>
  <si>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</si>
  <si>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</si>
  <si>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</si>
  <si>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</si>
  <si>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</si>
  <si>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</si>
  <si>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</si>
  <si>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</si>
  <si>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</si>
  <si>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</si>
  <si>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</si>
  <si>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</si>
  <si>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</si>
  <si>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</si>
  <si>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</si>
  <si>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</si>
  <si>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</si>
  <si>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</si>
  <si>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</si>
  <si>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</si>
  <si>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</si>
  <si>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</si>
  <si>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</si>
  <si>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</si>
  <si>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</si>
  <si>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</si>
  <si>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</si>
  <si>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</si>
  <si>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</si>
  <si>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</si>
  <si>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</si>
  <si>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</si>
  <si>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</si>
  <si>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</si>
  <si>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</si>
  <si>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</si>
  <si>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</si>
  <si>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</si>
  <si>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</si>
  <si>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</si>
  <si>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</si>
  <si>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</si>
  <si>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</si>
  <si>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</si>
  <si>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</si>
  <si>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</si>
  <si>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</si>
  <si>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</si>
  <si>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</si>
  <si>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</si>
  <si>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</si>
  <si>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</si>
  <si>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</si>
  <si>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</si>
  <si>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</si>
  <si>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</si>
  <si>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</si>
  <si>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</si>
  <si>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</si>
  <si>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</si>
  <si>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</si>
  <si>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</si>
  <si>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</si>
  <si>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</si>
  <si>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</si>
  <si>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</si>
  <si>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</si>
  <si>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</si>
  <si>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</si>
  <si>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</si>
  <si>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</si>
  <si>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</si>
  <si>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</si>
  <si>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</si>
  <si>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</si>
  <si>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</si>
  <si>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</si>
  <si>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</si>
  <si>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</si>
  <si>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</si>
  <si>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</si>
  <si>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</si>
  <si>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</si>
  <si>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</si>
  <si>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</si>
  <si>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</si>
  <si>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</si>
  <si>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</si>
  <si>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</si>
  <si>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</si>
  <si>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</si>
  <si>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</si>
  <si>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</si>
  <si>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</si>
  <si>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</si>
  <si>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</si>
  <si>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</si>
  <si>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</si>
  <si>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</si>
  <si>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</si>
  <si>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</si>
  <si>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</si>
  <si>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</si>
  <si>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</si>
  <si>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</si>
  <si>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</si>
  <si>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</si>
  <si>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</si>
  <si>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</si>
  <si>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</si>
  <si>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</si>
  <si>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</si>
  <si>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</si>
  <si>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</si>
  <si>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</si>
  <si>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</si>
  <si>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</si>
  <si>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</si>
  <si>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</si>
  <si>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</si>
  <si>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</si>
  <si>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</si>
  <si>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</si>
  <si>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</si>
  <si>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</si>
  <si>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</si>
  <si>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</si>
  <si>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</si>
  <si>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</si>
  <si>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</si>
  <si>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</si>
  <si>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</si>
  <si>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</si>
  <si>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</si>
  <si>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</si>
  <si>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</si>
  <si>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</si>
  <si>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</si>
  <si>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</si>
  <si>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</si>
  <si>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</si>
  <si>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</si>
  <si>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</si>
  <si>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</si>
  <si>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</si>
  <si>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</si>
  <si>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</si>
  <si>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</si>
  <si>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</si>
  <si>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</si>
  <si>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</si>
  <si>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</si>
  <si>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</si>
  <si>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</si>
  <si>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</si>
  <si>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</si>
  <si>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</si>
  <si>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</si>
  <si>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</si>
  <si>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</si>
  <si>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</si>
  <si>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</si>
  <si>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</si>
  <si>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</si>
  <si>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</si>
  <si>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</si>
  <si>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</si>
  <si>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</si>
  <si>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</si>
  <si>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</si>
  <si>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</si>
  <si>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</si>
  <si>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</si>
  <si>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</si>
  <si>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</si>
  <si>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</si>
  <si>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</si>
  <si>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</si>
  <si>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</si>
  <si>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</si>
  <si>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</si>
  <si>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</si>
  <si>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</si>
  <si>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</si>
  <si>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</si>
  <si>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</si>
  <si>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</si>
  <si>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</si>
  <si>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</si>
  <si>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</si>
  <si>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</si>
  <si>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</si>
  <si>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</si>
  <si>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</si>
  <si>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</si>
  <si>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</si>
  <si>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</si>
  <si>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</si>
  <si>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</si>
  <si>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</si>
  <si>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</si>
  <si>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</si>
  <si>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</si>
  <si>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</si>
  <si>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</si>
  <si>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</si>
  <si>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</si>
  <si>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</si>
  <si>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</si>
  <si>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</si>
  <si>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</si>
  <si>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</si>
  <si>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</si>
  <si>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</si>
  <si>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</si>
  <si>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</si>
  <si>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</si>
  <si>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</si>
  <si>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</si>
  <si>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</si>
  <si>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</si>
  <si>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</si>
  <si>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</si>
  <si>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</si>
  <si>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</si>
  <si>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</si>
  <si>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</si>
  <si>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</si>
  <si>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</si>
  <si>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</si>
  <si>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</si>
  <si>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</si>
  <si>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</si>
  <si>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</si>
  <si>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</si>
  <si>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</si>
  <si>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</si>
  <si>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</si>
  <si>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</si>
  <si>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</si>
  <si>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</si>
  <si>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</si>
  <si>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</si>
  <si>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</si>
  <si>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</si>
  <si>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</si>
  <si>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</si>
  <si>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</si>
  <si>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</si>
  <si>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</si>
  <si>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</si>
  <si>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</si>
  <si>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</si>
  <si>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</si>
  <si>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</si>
  <si>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</si>
  <si>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</si>
  <si>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</si>
  <si>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</si>
  <si>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</si>
  <si>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</si>
  <si>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</si>
  <si>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</si>
  <si>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</si>
  <si>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</si>
  <si>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</si>
  <si>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</si>
  <si>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</si>
  <si>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</si>
  <si>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</si>
  <si>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</si>
  <si>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</si>
  <si>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</si>
  <si>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</si>
  <si>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</si>
  <si>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</si>
  <si>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</si>
  <si>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</si>
  <si>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</si>
  <si>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</si>
  <si>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</si>
  <si>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</si>
  <si>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</si>
  <si>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</si>
  <si>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</si>
  <si>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</si>
  <si>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</si>
  <si>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</si>
  <si>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</si>
  <si>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</si>
  <si>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</si>
  <si>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</si>
  <si>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</si>
  <si>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</si>
  <si>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</si>
  <si>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</si>
  <si>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</si>
  <si>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</si>
  <si>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</si>
  <si>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</si>
  <si>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</si>
  <si>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</si>
  <si>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</si>
  <si>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</si>
  <si>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</si>
  <si>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</si>
  <si>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</si>
  <si>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</si>
  <si>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</si>
  <si>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</si>
  <si>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</si>
  <si>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</si>
  <si>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</si>
  <si>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</si>
  <si>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</si>
  <si>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</si>
  <si>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</si>
  <si>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</si>
  <si>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</si>
  <si>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</si>
  <si>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</si>
  <si>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</si>
  <si>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</si>
  <si>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</si>
  <si>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</si>
  <si>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</si>
  <si>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</si>
  <si>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</si>
  <si>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</si>
  <si>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</si>
  <si>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</si>
  <si>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</si>
  <si>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</si>
  <si>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</si>
  <si>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</si>
  <si>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</si>
  <si>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</si>
  <si>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</si>
  <si>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</si>
  <si>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</si>
  <si>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</si>
  <si>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</si>
  <si>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</si>
  <si>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</si>
  <si>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</si>
  <si>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</si>
  <si>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</si>
  <si>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</si>
  <si>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</si>
  <si>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</si>
  <si>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</si>
  <si>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</si>
  <si>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</si>
  <si>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</si>
  <si>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</si>
  <si>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</si>
  <si>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</si>
  <si>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</si>
  <si>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</si>
  <si>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</si>
  <si>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</si>
  <si>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</si>
  <si>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</si>
  <si>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</si>
  <si>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</si>
  <si>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</si>
  <si>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</si>
  <si>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</si>
  <si>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</si>
  <si>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</si>
  <si>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</si>
  <si>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</si>
  <si>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</si>
  <si>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</si>
  <si>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</si>
  <si>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</si>
  <si>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</si>
  <si>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</si>
  <si>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</si>
  <si>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</si>
  <si>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</si>
  <si>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</si>
  <si>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</si>
  <si>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</si>
  <si>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</si>
  <si>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</si>
  <si>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</si>
  <si>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</si>
  <si>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</si>
  <si>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</si>
  <si>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</si>
  <si>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</si>
  <si>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</si>
  <si>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</si>
  <si>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</si>
  <si>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</si>
  <si>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</si>
  <si>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</si>
  <si>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</si>
  <si>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</si>
  <si>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</si>
  <si>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</si>
  <si>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</si>
  <si>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</si>
  <si>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</si>
  <si>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</si>
  <si>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</si>
  <si>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</si>
  <si>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</si>
  <si>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</si>
  <si>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</si>
  <si>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</si>
  <si>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</si>
  <si>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</si>
  <si>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</si>
  <si>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</si>
  <si>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</si>
  <si>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</si>
  <si>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</si>
  <si>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</si>
  <si>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</si>
  <si>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</si>
  <si>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</si>
  <si>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</si>
  <si>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</si>
  <si>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</si>
  <si>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</si>
  <si>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</si>
  <si>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</si>
  <si>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</si>
  <si>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</si>
  <si>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</si>
  <si>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</si>
  <si>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</si>
  <si>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</si>
  <si>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</si>
  <si>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</si>
  <si>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</si>
  <si>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</si>
  <si>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</si>
  <si>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</si>
  <si>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</si>
  <si>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</si>
  <si>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</si>
  <si>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</si>
  <si>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</si>
  <si>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</si>
  <si>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</si>
  <si>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</si>
  <si>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</si>
  <si>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</si>
  <si>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</si>
  <si>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</si>
  <si>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</si>
  <si>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</si>
  <si>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</si>
  <si>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</si>
  <si>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</si>
  <si>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</si>
  <si>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</si>
  <si>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</si>
  <si>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</si>
  <si>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</si>
  <si>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</si>
  <si>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</si>
  <si>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</si>
  <si>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</si>
  <si>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</si>
  <si>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</si>
  <si>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</si>
  <si>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</si>
  <si>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</si>
  <si>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</si>
  <si>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</si>
  <si>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</si>
  <si>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</si>
  <si>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</si>
  <si>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</si>
  <si>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</si>
  <si>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</si>
  <si>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</si>
  <si>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</si>
  <si>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</si>
  <si>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</si>
  <si>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</si>
  <si>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</si>
  <si>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</si>
  <si>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</si>
  <si>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</si>
  <si>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</si>
  <si>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</si>
  <si>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</si>
  <si>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</si>
  <si>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</si>
  <si>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</si>
  <si>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</si>
  <si>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</si>
  <si>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</si>
  <si>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</si>
  <si>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</si>
  <si>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</si>
  <si>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</si>
  <si>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</si>
  <si>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</si>
  <si>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</si>
  <si>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</si>
  <si>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</si>
  <si>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</si>
  <si>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</si>
  <si>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</si>
  <si>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</si>
  <si>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</si>
  <si>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</si>
  <si>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</si>
  <si>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</si>
  <si>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</si>
  <si>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</si>
  <si>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</si>
  <si>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</si>
  <si>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</si>
  <si>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</si>
  <si>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</si>
  <si>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</si>
  <si>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</si>
  <si>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</si>
  <si>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</si>
  <si>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</si>
  <si>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</si>
  <si>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</si>
  <si>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</si>
  <si>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</si>
  <si>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</si>
  <si>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</si>
  <si>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</si>
  <si>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</si>
  <si>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</si>
  <si>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</si>
  <si>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</si>
  <si>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</si>
  <si>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</si>
  <si>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</si>
  <si>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</si>
  <si>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</si>
  <si>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</si>
  <si>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</si>
  <si>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</si>
  <si>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</si>
  <si>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</si>
  <si>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</si>
  <si>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</si>
  <si>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</si>
  <si>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</si>
  <si>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</si>
  <si>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</si>
  <si>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</si>
  <si>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</si>
  <si>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</si>
  <si>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</si>
  <si>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</si>
  <si>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</si>
  <si>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</si>
  <si>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</si>
  <si>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</si>
  <si>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</si>
  <si>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</si>
  <si>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</si>
  <si>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</si>
  <si>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</si>
  <si>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</si>
  <si>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</si>
  <si>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</si>
  <si>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</si>
  <si>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</si>
  <si>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</si>
  <si>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</si>
  <si>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</si>
  <si>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</si>
  <si>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</si>
  <si>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</si>
  <si>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</si>
  <si>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</si>
  <si>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</si>
  <si>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</si>
  <si>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</si>
  <si>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</si>
  <si>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</si>
  <si>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</si>
  <si>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</si>
  <si>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</si>
  <si>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</si>
  <si>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</si>
  <si>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</si>
  <si>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</si>
  <si>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</si>
  <si>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</si>
  <si>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</si>
  <si>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</si>
  <si>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</si>
  <si>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</si>
  <si>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</si>
  <si>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</si>
  <si>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</si>
  <si>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</si>
  <si>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</si>
  <si>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</si>
  <si>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</si>
  <si>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</si>
  <si>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</si>
  <si>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</si>
  <si>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</si>
  <si>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</si>
  <si>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</si>
  <si>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</si>
  <si>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</si>
  <si>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</si>
  <si>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</si>
  <si>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</si>
  <si>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</si>
  <si>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</si>
  <si>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</si>
  <si>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</si>
  <si>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</si>
  <si>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</si>
  <si>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</si>
  <si>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</si>
  <si>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</si>
  <si>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</si>
  <si>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</si>
  <si>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</si>
  <si>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</si>
  <si>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</si>
  <si>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</si>
  <si>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</si>
  <si>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</si>
  <si>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</si>
  <si>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</si>
  <si>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</si>
  <si>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</si>
  <si>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</si>
  <si>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</si>
  <si>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</si>
  <si>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</si>
  <si>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</si>
  <si>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</si>
  <si>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</si>
  <si>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</si>
  <si>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</si>
  <si>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</si>
  <si>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</si>
  <si>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</si>
  <si>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</si>
  <si>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</si>
  <si>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</si>
  <si>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</si>
  <si>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</si>
  <si>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</si>
  <si>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</si>
  <si>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</si>
  <si>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</si>
  <si>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</si>
  <si>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</si>
  <si>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</si>
  <si>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</si>
  <si>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</si>
  <si>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</si>
  <si>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</si>
  <si>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</si>
  <si>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</si>
  <si>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</si>
  <si>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</si>
  <si>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</si>
  <si>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</si>
  <si>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</si>
  <si>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</si>
  <si>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</si>
  <si>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</si>
  <si>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</si>
  <si>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</si>
  <si>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</si>
  <si>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</si>
  <si>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</si>
  <si>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</si>
  <si>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</si>
  <si>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</si>
  <si>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</si>
  <si>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</si>
  <si>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</si>
  <si>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</si>
  <si>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</si>
  <si>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</si>
  <si>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</si>
  <si>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</si>
  <si>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</si>
  <si>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</si>
  <si>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</si>
  <si>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</si>
  <si>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</si>
  <si>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</si>
  <si>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</si>
  <si>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</si>
  <si>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</si>
  <si>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</si>
  <si>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</si>
  <si>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</si>
  <si>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</si>
  <si>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</si>
  <si>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</si>
  <si>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</si>
  <si>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</si>
  <si>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</si>
  <si>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</si>
  <si>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</si>
  <si>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</si>
  <si>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</si>
  <si>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</si>
  <si>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</si>
  <si>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</si>
  <si>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</si>
  <si>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</si>
  <si>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</si>
  <si>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</si>
  <si>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</si>
  <si>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</si>
  <si>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</si>
  <si>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</si>
  <si>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</si>
  <si>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</si>
  <si>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</si>
  <si>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</si>
  <si>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</si>
  <si>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</si>
  <si>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</si>
  <si>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</si>
  <si>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</si>
  <si>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</si>
  <si>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</si>
  <si>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</si>
  <si>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</si>
  <si>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</si>
  <si>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</si>
  <si>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</si>
  <si>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</si>
  <si>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</si>
  <si>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</si>
  <si>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</si>
  <si>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</si>
  <si>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</si>
  <si>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</si>
  <si>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</si>
  <si>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</si>
  <si>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</si>
  <si>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</si>
  <si>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</si>
  <si>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</si>
  <si>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</si>
  <si>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</si>
  <si>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</si>
  <si>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</si>
  <si>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</si>
  <si>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</si>
  <si>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</si>
  <si>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</si>
  <si>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</si>
  <si>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</si>
  <si>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</si>
  <si>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</si>
  <si>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</si>
  <si>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</si>
  <si>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</si>
  <si>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</si>
  <si>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</si>
  <si>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</si>
  <si>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</si>
  <si>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</si>
  <si>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</si>
  <si>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</si>
  <si>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</si>
  <si>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</si>
  <si>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</si>
  <si>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</si>
  <si>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</si>
  <si>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</si>
  <si>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</si>
  <si>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</si>
  <si>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</si>
  <si>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</si>
  <si>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</si>
  <si>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</si>
  <si>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</si>
  <si>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</si>
  <si>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</si>
  <si>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</si>
  <si>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</si>
  <si>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</si>
  <si>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</si>
  <si>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</si>
  <si>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</si>
  <si>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</si>
  <si>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</si>
  <si>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</si>
  <si>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</si>
  <si>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</si>
  <si>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</si>
  <si>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</si>
  <si>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</si>
  <si>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</si>
  <si>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</si>
  <si>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</si>
  <si>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</si>
  <si>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</si>
  <si>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</si>
  <si>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</si>
  <si>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</si>
  <si>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</si>
  <si>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</si>
  <si>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</si>
  <si>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</si>
  <si>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</si>
  <si>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</si>
  <si>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</si>
  <si>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</si>
  <si>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</si>
  <si>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</si>
  <si>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</si>
  <si>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</si>
  <si>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</si>
  <si>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</si>
  <si>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</si>
  <si>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</si>
  <si>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</si>
  <si>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</si>
  <si>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</si>
  <si>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</si>
  <si>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</si>
  <si>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</si>
  <si>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</si>
  <si>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</si>
  <si>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</si>
  <si>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</si>
  <si>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</si>
  <si>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</si>
  <si>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</si>
  <si>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</si>
  <si>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</si>
  <si>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</si>
  <si>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</si>
  <si>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</si>
  <si>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</si>
  <si>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</si>
  <si>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</si>
  <si>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</si>
  <si>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</si>
  <si>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</si>
  <si>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</si>
  <si>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</si>
  <si>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</si>
  <si>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</si>
  <si>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</si>
  <si>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</si>
  <si>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</si>
  <si>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</si>
  <si>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</si>
  <si>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</si>
  <si>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</si>
  <si>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</si>
  <si>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</si>
  <si>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</si>
  <si>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</si>
  <si>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</si>
  <si>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</si>
  <si>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</si>
  <si>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</si>
  <si>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</si>
  <si>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</si>
  <si>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</si>
  <si>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</si>
  <si>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</si>
  <si>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</si>
  <si>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</si>
  <si>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</si>
  <si>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</si>
  <si>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</si>
  <si>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</si>
  <si>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</si>
  <si>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</si>
  <si>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</si>
  <si>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</si>
  <si>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</si>
  <si>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</si>
  <si>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</si>
  <si>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</si>
  <si>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</si>
  <si>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</si>
  <si>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</si>
  <si>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</si>
  <si>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</si>
  <si>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</si>
  <si>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</si>
  <si>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</si>
  <si>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</si>
  <si>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</si>
  <si>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</si>
  <si>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</si>
  <si>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</si>
  <si>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</si>
  <si>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</si>
  <si>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</si>
  <si>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</si>
  <si>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</si>
  <si>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</si>
  <si>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</si>
  <si>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</si>
  <si>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</si>
  <si>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</si>
  <si>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</si>
  <si>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</si>
  <si>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</si>
  <si>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</si>
  <si>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</si>
  <si>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</si>
  <si>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</si>
  <si>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</si>
  <si>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</si>
  <si>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</si>
  <si>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</si>
  <si>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</si>
  <si>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</si>
  <si>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</si>
  <si>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</si>
  <si>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</si>
  <si>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</si>
  <si>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</si>
  <si>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</si>
  <si>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</si>
  <si>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</si>
  <si>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</si>
  <si>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</si>
  <si>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</si>
  <si>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</si>
  <si>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</si>
  <si>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</si>
  <si>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</si>
  <si>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</si>
  <si>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</si>
  <si>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</si>
  <si>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</si>
  <si>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</si>
  <si>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</si>
  <si>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</si>
  <si>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</si>
  <si>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</si>
  <si>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</si>
  <si>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</si>
  <si>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</si>
  <si>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</si>
  <si>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</si>
  <si>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</si>
  <si>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</si>
  <si>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</si>
  <si>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</si>
  <si>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</si>
  <si>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</si>
  <si>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</si>
  <si>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</si>
  <si>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</si>
  <si>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</si>
  <si>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</si>
  <si>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</si>
  <si>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</si>
  <si>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</si>
  <si>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</si>
  <si>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</si>
  <si>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</si>
  <si>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</si>
  <si>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</si>
  <si>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</si>
  <si>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</si>
  <si>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</si>
  <si>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</si>
  <si>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</si>
  <si>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</si>
  <si>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</si>
  <si>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</si>
  <si>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</si>
  <si>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</si>
  <si>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</si>
  <si>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</si>
  <si>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</si>
  <si>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</si>
  <si>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</si>
  <si>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</si>
  <si>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</si>
  <si>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</si>
  <si>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</si>
  <si>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</si>
  <si>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</si>
  <si>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</si>
  <si>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</si>
  <si>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</si>
  <si>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</si>
  <si>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</si>
  <si>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</si>
  <si>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</si>
  <si>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</si>
  <si>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</si>
  <si>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</si>
  <si>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</si>
  <si>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</si>
  <si>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</si>
  <si>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</si>
  <si>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</si>
  <si>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</si>
  <si>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</si>
  <si>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</si>
  <si>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</si>
  <si>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</si>
  <si>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</si>
  <si>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</si>
  <si>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</si>
  <si>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</si>
  <si>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</si>
  <si>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</si>
  <si>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</si>
  <si>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</si>
  <si>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</si>
  <si>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</si>
  <si>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</si>
  <si>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</si>
  <si>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</si>
  <si>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</si>
  <si>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</si>
  <si>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</si>
  <si>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</si>
  <si>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</si>
  <si>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</si>
  <si>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</si>
  <si>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</si>
  <si>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</si>
  <si>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</si>
  <si>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</si>
  <si>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</si>
  <si>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</si>
  <si>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</si>
  <si>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</si>
  <si>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</si>
  <si>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</si>
  <si>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</si>
  <si>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</si>
  <si>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</si>
  <si>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</si>
  <si>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</si>
  <si>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</si>
  <si>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</si>
  <si>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</si>
  <si>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</si>
  <si>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</si>
  <si>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</si>
  <si>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</si>
  <si>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</si>
  <si>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</si>
  <si>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</si>
  <si>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</si>
  <si>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</si>
  <si>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</si>
  <si>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</si>
  <si>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</si>
  <si>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</si>
  <si>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</si>
  <si>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</si>
  <si>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</si>
  <si>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</si>
  <si>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</si>
  <si>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</si>
  <si>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</si>
  <si>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</si>
  <si>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</si>
  <si>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</si>
  <si>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</si>
  <si>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</si>
  <si>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</si>
  <si>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</si>
  <si>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</si>
  <si>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</si>
  <si>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</si>
  <si>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</si>
  <si>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</si>
  <si>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</si>
  <si>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</si>
  <si>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</si>
  <si>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</si>
  <si>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</si>
  <si>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</si>
  <si>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</si>
  <si>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</si>
  <si>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</si>
  <si>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</si>
  <si>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</si>
  <si>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</si>
  <si>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</si>
  <si>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</si>
  <si>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</si>
  <si>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</si>
  <si>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</si>
  <si>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</si>
  <si>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</si>
  <si>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</si>
  <si>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</si>
  <si>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</si>
  <si>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</si>
  <si>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</si>
  <si>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</si>
  <si>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</si>
  <si>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</si>
  <si>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</si>
  <si>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</si>
  <si>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</si>
  <si>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</si>
  <si>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</si>
  <si>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</si>
  <si>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</si>
  <si>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</si>
  <si>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</si>
  <si>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</si>
  <si>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</si>
  <si>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</si>
  <si>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</si>
  <si>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</si>
  <si>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</si>
  <si>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</si>
  <si>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</si>
  <si>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</si>
  <si>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</si>
  <si>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</si>
  <si>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</si>
  <si>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</si>
  <si>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</si>
  <si>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</si>
  <si>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</si>
  <si>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</si>
  <si>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</si>
  <si>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</si>
  <si>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</si>
  <si>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</si>
  <si>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</si>
  <si>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</si>
  <si>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</si>
  <si>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</si>
  <si>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</si>
  <si>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</si>
  <si>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</si>
  <si>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</si>
  <si>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</si>
  <si>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</si>
  <si>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</si>
  <si>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</si>
  <si>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</si>
  <si>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</si>
  <si>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</si>
  <si>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</si>
  <si>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</si>
  <si>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</si>
  <si>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</si>
  <si>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</si>
  <si>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</si>
  <si>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</si>
  <si>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</si>
  <si>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</si>
  <si>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</si>
  <si>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</si>
  <si>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</si>
  <si>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</si>
  <si>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</si>
  <si>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</si>
  <si>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</si>
  <si>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</si>
  <si>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</si>
  <si>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</si>
  <si>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</si>
  <si>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</si>
  <si>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</si>
  <si>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</si>
  <si>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</si>
  <si>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</si>
  <si>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</si>
  <si>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</si>
  <si>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</si>
  <si>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</si>
  <si>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</si>
  <si>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</si>
  <si>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</si>
  <si>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</si>
  <si>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</si>
  <si>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</si>
  <si>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</si>
  <si>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</si>
  <si>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</si>
  <si>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</si>
  <si>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</si>
  <si>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</si>
  <si>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</si>
  <si>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</si>
  <si>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</si>
  <si>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</si>
  <si>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</si>
  <si>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</si>
  <si>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</si>
  <si>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</si>
  <si>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</si>
  <si>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</si>
  <si>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</si>
  <si>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</si>
  <si>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</si>
  <si>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</si>
  <si>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</si>
  <si>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</si>
  <si>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</si>
  <si>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</si>
  <si>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</si>
  <si>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</si>
  <si>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</si>
  <si>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</si>
  <si>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</si>
  <si>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</si>
  <si>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</si>
  <si>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</si>
  <si>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</si>
  <si>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</si>
  <si>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</si>
  <si>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</si>
  <si>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</si>
  <si>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</si>
  <si>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</si>
  <si>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</si>
  <si>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</si>
  <si>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</si>
  <si>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</si>
  <si>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</si>
  <si>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</si>
  <si>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</si>
  <si>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</si>
  <si>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</si>
  <si>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</si>
  <si>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</si>
  <si>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</si>
  <si>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</si>
  <si>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</si>
  <si>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</si>
  <si>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</si>
  <si>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</si>
  <si>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</si>
  <si>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</si>
  <si>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</si>
  <si>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</si>
  <si>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</si>
  <si>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</si>
  <si>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</si>
  <si>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</si>
  <si>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</si>
  <si>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</si>
  <si>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</si>
  <si>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</si>
  <si>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</si>
  <si>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</si>
  <si>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</si>
  <si>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</si>
  <si>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</si>
  <si>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</si>
  <si>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</si>
  <si>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</si>
  <si>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</si>
  <si>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</si>
  <si>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</si>
  <si>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</si>
  <si>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</si>
  <si>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</si>
  <si>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</si>
  <si>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</si>
  <si>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</si>
  <si>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</si>
  <si>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</si>
  <si>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</si>
  <si>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</si>
  <si>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</si>
  <si>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</si>
  <si>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</si>
  <si>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</si>
  <si>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</si>
  <si>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</si>
  <si>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</si>
  <si>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</si>
  <si>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</si>
  <si>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</si>
  <si>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</si>
  <si>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</si>
  <si>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</si>
  <si>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</si>
  <si>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</si>
  <si>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</si>
  <si>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</si>
  <si>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</si>
  <si>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</si>
  <si>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</si>
  <si>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</si>
  <si>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</si>
  <si>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</si>
  <si>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</si>
  <si>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</si>
  <si>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</si>
  <si>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</si>
  <si>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</si>
  <si>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</si>
  <si>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</si>
  <si>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</si>
  <si>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</si>
  <si>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</si>
  <si>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</si>
  <si>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</si>
  <si>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</si>
  <si>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</si>
  <si>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</si>
  <si>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</si>
  <si>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</si>
  <si>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</si>
  <si>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</si>
  <si>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</si>
  <si>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</si>
  <si>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</si>
  <si>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</si>
  <si>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</si>
  <si>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</si>
  <si>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</si>
  <si>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</si>
  <si>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</si>
  <si>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</si>
  <si>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</si>
  <si>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</si>
  <si>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</si>
  <si>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</si>
  <si>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</si>
  <si>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</si>
  <si>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</si>
  <si>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</si>
  <si>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</si>
  <si>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</si>
  <si>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</si>
  <si>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</si>
  <si>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</si>
  <si>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</si>
  <si>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</si>
  <si>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</si>
  <si>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</si>
  <si>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</si>
  <si>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</si>
  <si>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</si>
  <si>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</si>
  <si>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</si>
  <si>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</si>
  <si>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</si>
  <si>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</si>
  <si>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</si>
  <si>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</si>
  <si>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</si>
  <si>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</si>
  <si>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</si>
  <si>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</si>
  <si>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</si>
  <si>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</si>
  <si>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</si>
  <si>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</si>
  <si>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</si>
  <si>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</si>
  <si>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</si>
  <si>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</si>
  <si>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</si>
  <si>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</si>
  <si>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</si>
  <si>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</si>
  <si>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</si>
  <si>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</si>
  <si>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</si>
  <si>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</si>
  <si>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</si>
  <si>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</si>
  <si>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</si>
  <si>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</si>
  <si>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</si>
  <si>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</si>
  <si>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</si>
  <si>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</si>
  <si>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</si>
  <si>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</si>
  <si>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</si>
  <si>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</si>
  <si>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</si>
  <si>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</si>
  <si>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</si>
  <si>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</si>
  <si>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</si>
  <si>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</si>
  <si>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</si>
  <si>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</si>
  <si>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</si>
  <si>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</si>
  <si>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</si>
  <si>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</si>
  <si>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</si>
  <si>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</si>
  <si>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</si>
  <si>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</si>
  <si>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</si>
  <si>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</si>
  <si>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</si>
  <si>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</si>
  <si>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</si>
  <si>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</si>
  <si>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</si>
  <si>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</si>
  <si>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</si>
  <si>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</si>
  <si>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</si>
  <si>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</si>
  <si>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</si>
  <si>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</si>
  <si>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</si>
  <si>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</si>
  <si>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</si>
  <si>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</si>
  <si>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</si>
  <si>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</si>
  <si>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</si>
  <si>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</si>
  <si>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</si>
  <si>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</si>
  <si>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</si>
  <si>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</si>
  <si>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</si>
  <si>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</si>
  <si>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</si>
  <si>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</si>
  <si>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</si>
  <si>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</si>
  <si>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</si>
  <si>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</si>
  <si>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</si>
  <si>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</si>
  <si>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</si>
  <si>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</si>
  <si>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</si>
  <si>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</si>
  <si>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</si>
  <si>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</si>
  <si>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</si>
  <si>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</si>
  <si>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</si>
  <si>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</si>
  <si>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</si>
  <si>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</si>
  <si>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</si>
  <si>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</si>
  <si>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</si>
  <si>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</si>
  <si>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</si>
  <si>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</si>
  <si>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</si>
  <si>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</si>
  <si>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</si>
  <si>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</si>
  <si>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</si>
  <si>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</si>
  <si>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</si>
  <si>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</si>
  <si>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</si>
  <si>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</si>
  <si>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</si>
  <si>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</si>
  <si>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</si>
  <si>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</si>
  <si>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</si>
  <si>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</si>
  <si>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</si>
  <si>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</si>
  <si>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</si>
  <si>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</si>
  <si>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</si>
  <si>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</si>
  <si>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</si>
  <si>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</si>
  <si>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</si>
  <si>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</si>
  <si>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</si>
  <si>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</si>
  <si>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</si>
  <si>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</si>
  <si>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</si>
  <si>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</si>
  <si>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</si>
  <si>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</si>
  <si>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</si>
  <si>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</si>
  <si>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</si>
  <si>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</si>
  <si>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</si>
  <si>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</si>
  <si>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</si>
  <si>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</si>
  <si>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</si>
  <si>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</si>
  <si>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</si>
  <si>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</si>
  <si>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</si>
  <si>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</si>
  <si>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</si>
  <si>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</si>
  <si>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</si>
  <si>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</si>
  <si>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</si>
  <si>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</si>
  <si>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</si>
  <si>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</si>
  <si>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</si>
  <si>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</si>
  <si>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</si>
  <si>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</si>
  <si>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</si>
  <si>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</si>
  <si>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</si>
  <si>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</si>
  <si>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</si>
  <si>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</si>
  <si>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</si>
  <si>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</si>
  <si>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</si>
  <si>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</si>
  <si>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</si>
  <si>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</si>
  <si>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</si>
  <si>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</si>
  <si>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</si>
  <si>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</si>
  <si>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</si>
  <si>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</si>
  <si>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</si>
  <si>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</si>
  <si>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</si>
  <si>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</si>
  <si>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</si>
  <si>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</si>
  <si>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</si>
  <si>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</si>
  <si>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</si>
  <si>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</si>
  <si>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</si>
  <si>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</si>
  <si>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</si>
  <si>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</si>
  <si>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</si>
  <si>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</si>
  <si>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</si>
  <si>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</si>
  <si>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</si>
  <si>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</si>
  <si>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</si>
  <si>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</si>
  <si>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</si>
  <si>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</si>
  <si>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</si>
  <si>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</si>
  <si>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</si>
  <si>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</si>
  <si>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</si>
  <si>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</si>
  <si>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</si>
  <si>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</si>
  <si>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</si>
  <si>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</si>
  <si>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</si>
  <si>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</si>
  <si>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</si>
  <si>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</si>
  <si>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</si>
  <si>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</si>
  <si>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</si>
  <si>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</si>
  <si>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</si>
  <si>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</si>
  <si>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</si>
  <si>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</si>
  <si>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</si>
  <si>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</si>
  <si>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</si>
  <si>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</si>
  <si>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</si>
  <si>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</si>
  <si>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</si>
  <si>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</si>
  <si>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</si>
  <si>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</si>
  <si>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</si>
  <si>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</si>
  <si>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</si>
  <si>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</si>
  <si>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</si>
  <si>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</si>
  <si>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</si>
  <si>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</si>
  <si>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</si>
  <si>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</si>
  <si>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</si>
  <si>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</si>
  <si>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</si>
  <si>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</si>
  <si>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</si>
  <si>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</si>
  <si>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</si>
  <si>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</si>
  <si>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</si>
  <si>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</si>
  <si>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</si>
  <si>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</si>
  <si>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</si>
  <si>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</si>
  <si>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</si>
  <si>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</si>
  <si>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</si>
  <si>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</si>
  <si>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</si>
  <si>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</si>
  <si>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</si>
  <si>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</si>
  <si>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</si>
  <si>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</si>
  <si>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</si>
  <si>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</si>
  <si>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</si>
  <si>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</si>
  <si>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</si>
  <si>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</si>
  <si>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</si>
  <si>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</si>
  <si>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</si>
  <si>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</si>
  <si>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</si>
  <si>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</si>
  <si>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</si>
  <si>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</si>
  <si>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</si>
  <si>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</si>
  <si>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</si>
  <si>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</si>
  <si>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</si>
  <si>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</si>
  <si>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</si>
  <si>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</si>
  <si>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</si>
  <si>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</si>
  <si>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</si>
  <si>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</si>
  <si>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</si>
  <si>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</si>
  <si>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</si>
  <si>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</si>
  <si>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</si>
  <si>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</si>
  <si>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</si>
  <si>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</si>
  <si>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</si>
  <si>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</si>
  <si>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</si>
  <si>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</si>
  <si>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</si>
  <si>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</si>
  <si>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</si>
  <si>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</si>
  <si>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</si>
  <si>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</si>
  <si>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</si>
  <si>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</si>
  <si>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</si>
  <si>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</si>
  <si>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</si>
  <si>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</si>
  <si>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</si>
  <si>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</si>
  <si>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</si>
  <si>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</si>
  <si>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</si>
  <si>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</si>
  <si>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</si>
  <si>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</si>
  <si>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</si>
  <si>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</si>
  <si>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</si>
  <si>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</si>
  <si>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</si>
  <si>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</si>
  <si>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</si>
  <si>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</si>
  <si>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</si>
  <si>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</si>
  <si>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</si>
  <si>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</si>
  <si>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</si>
  <si>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</si>
  <si>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</si>
  <si>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</si>
  <si>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</si>
  <si>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</si>
  <si>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</si>
  <si>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</si>
  <si>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</si>
  <si>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</si>
  <si>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</si>
  <si>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</si>
  <si>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</si>
  <si>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</si>
  <si>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</si>
  <si>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</si>
  <si>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</si>
  <si>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</si>
  <si>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</si>
  <si>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</si>
  <si>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</si>
  <si>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</si>
  <si>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</si>
  <si>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</si>
  <si>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</si>
  <si>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</si>
  <si>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</si>
  <si>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</si>
  <si>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</si>
  <si>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</si>
  <si>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</si>
  <si>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</si>
  <si>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</si>
  <si>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</si>
  <si>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</si>
  <si>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</si>
  <si>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</si>
  <si>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</si>
  <si>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</si>
  <si>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</si>
  <si>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</si>
  <si>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</si>
  <si>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</si>
  <si>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</si>
  <si>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</si>
  <si>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</si>
  <si>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</si>
  <si>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</si>
  <si>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</si>
  <si>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</si>
  <si>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</si>
  <si>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</si>
  <si>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</si>
  <si>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</si>
  <si>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</si>
  <si>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</si>
  <si>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</si>
  <si>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</si>
  <si>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</si>
  <si>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</si>
  <si>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</si>
  <si>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</si>
  <si>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</si>
  <si>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</si>
  <si>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</si>
  <si>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</si>
  <si>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</si>
  <si>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</si>
  <si>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</si>
  <si>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</si>
  <si>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</si>
  <si>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</si>
  <si>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</si>
  <si>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</si>
  <si>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</si>
  <si>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</si>
  <si>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</si>
  <si>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</si>
  <si>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</si>
  <si>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</si>
  <si>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</si>
  <si>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</si>
  <si>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</si>
  <si>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</si>
  <si>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</si>
  <si>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</si>
  <si>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</si>
  <si>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</si>
  <si>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</si>
  <si>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</si>
  <si>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</si>
  <si>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</si>
  <si>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</si>
  <si>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</si>
  <si>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</si>
  <si>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</si>
  <si>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</si>
  <si>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</si>
  <si>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</si>
  <si>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</si>
  <si>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</si>
  <si>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</si>
  <si>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</si>
  <si>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</si>
  <si>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</si>
  <si>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</si>
  <si>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</si>
  <si>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</si>
  <si>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</si>
  <si>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</si>
  <si>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</si>
  <si>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</si>
  <si>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</si>
  <si>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</si>
  <si>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</si>
  <si>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</si>
  <si>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</si>
  <si>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</si>
  <si>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</si>
  <si>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</si>
  <si>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</si>
  <si>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</si>
  <si>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</si>
  <si>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</si>
  <si>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</si>
  <si>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</si>
  <si>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</si>
  <si>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</si>
  <si>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</si>
  <si>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</si>
  <si>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</si>
  <si>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</si>
  <si>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</si>
  <si>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</si>
  <si>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</si>
  <si>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</si>
  <si>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</si>
  <si>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</si>
  <si>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</si>
  <si>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</si>
  <si>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</si>
  <si>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</si>
  <si>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</si>
  <si>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</si>
  <si>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</si>
  <si>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</si>
  <si>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</si>
  <si>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</si>
  <si>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</si>
  <si>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</si>
  <si>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</si>
  <si>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</si>
  <si>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</si>
  <si>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</si>
  <si>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</si>
  <si>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</si>
  <si>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</si>
  <si>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</si>
  <si>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</si>
  <si>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</si>
  <si>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</si>
  <si>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</si>
  <si>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</si>
  <si>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</si>
  <si>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</si>
  <si>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</si>
  <si>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</si>
  <si>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</si>
  <si>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</si>
  <si>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</si>
  <si>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</si>
  <si>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</si>
  <si>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</si>
  <si>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</si>
  <si>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</si>
  <si>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</si>
  <si>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</si>
  <si>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</si>
  <si>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</si>
  <si>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</si>
  <si>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</si>
  <si>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</si>
  <si>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</si>
  <si>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</si>
  <si>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</si>
  <si>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</si>
  <si>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</si>
  <si>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</si>
  <si>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</si>
  <si>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</si>
  <si>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</si>
  <si>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</si>
  <si>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</si>
  <si>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</si>
  <si>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</si>
  <si>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</si>
  <si>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</si>
  <si>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</si>
  <si>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</si>
  <si>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</si>
  <si>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</si>
  <si>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</si>
  <si>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</si>
  <si>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</si>
  <si>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</si>
  <si>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</si>
  <si>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</si>
  <si>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</si>
  <si>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</si>
  <si>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</si>
  <si>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</si>
  <si>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</si>
  <si>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</si>
  <si>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</si>
  <si>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</si>
  <si>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</si>
  <si>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</si>
  <si>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</si>
  <si>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</si>
  <si>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</si>
  <si>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</si>
  <si>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</si>
  <si>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</si>
  <si>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</si>
  <si>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</si>
  <si>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</si>
  <si>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</si>
  <si>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</si>
  <si>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</si>
  <si>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</si>
  <si>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</si>
  <si>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</si>
  <si>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</si>
  <si>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</si>
  <si>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</si>
  <si>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</si>
  <si>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</si>
  <si>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</si>
  <si>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</si>
  <si>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</si>
  <si>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</si>
  <si>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</si>
  <si>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</si>
  <si>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</si>
  <si>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</si>
  <si>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</si>
  <si>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</si>
  <si>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</si>
  <si>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</si>
  <si>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</si>
  <si>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</si>
  <si>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</si>
  <si>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</si>
  <si>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</si>
  <si>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</si>
  <si>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</si>
  <si>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</si>
  <si>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</si>
  <si>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</si>
  <si>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</si>
  <si>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</si>
  <si>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</si>
  <si>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</si>
  <si>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</si>
  <si>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</si>
  <si>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</si>
  <si>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</si>
  <si>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</si>
  <si>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</si>
  <si>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</si>
  <si>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</si>
  <si>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</si>
  <si>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</si>
  <si>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</si>
  <si>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</si>
  <si>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</si>
  <si>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</si>
  <si>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</si>
  <si>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</si>
  <si>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</si>
  <si>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</si>
  <si>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</si>
  <si>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</si>
  <si>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</si>
  <si>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</si>
  <si>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</si>
  <si>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</si>
  <si>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</si>
  <si>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</si>
  <si>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</si>
  <si>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</si>
  <si>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</si>
  <si>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</si>
  <si>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</si>
  <si>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</si>
  <si>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</si>
  <si>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</si>
  <si>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</si>
  <si>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</si>
  <si>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</si>
  <si>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</si>
  <si>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</si>
  <si>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</si>
  <si>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</si>
  <si>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</si>
  <si>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</si>
  <si>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</si>
  <si>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</si>
  <si>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</si>
  <si>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</si>
  <si>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</si>
  <si>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</si>
  <si>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</si>
  <si>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</si>
  <si>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</si>
  <si>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</si>
  <si>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</si>
  <si>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</si>
  <si>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</si>
  <si>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</si>
  <si>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</si>
  <si>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</si>
  <si>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</si>
  <si>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</si>
  <si>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</si>
  <si>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</si>
  <si>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</si>
  <si>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</si>
  <si>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</si>
  <si>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</si>
  <si>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</si>
  <si>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</si>
  <si>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</si>
  <si>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</si>
  <si>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</si>
  <si>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</si>
  <si>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</si>
  <si>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</si>
  <si>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</si>
  <si>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</si>
  <si>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</si>
  <si>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</si>
  <si>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</si>
  <si>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</si>
  <si>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</si>
  <si>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</si>
  <si>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</si>
  <si>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</si>
  <si>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</si>
  <si>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</si>
  <si>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</si>
  <si>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</si>
  <si>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</si>
  <si>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</si>
  <si>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</si>
  <si>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</si>
  <si>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</si>
  <si>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</si>
  <si>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</si>
  <si>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</si>
  <si>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</si>
  <si>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</si>
  <si>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</si>
  <si>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</si>
  <si>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</si>
  <si>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</si>
  <si>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</si>
  <si>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</si>
  <si>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</si>
  <si>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</si>
  <si>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</si>
  <si>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</si>
  <si>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</si>
  <si>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</si>
  <si>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</si>
  <si>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</si>
  <si>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</si>
  <si>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</si>
  <si>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</si>
  <si>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</si>
  <si>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</si>
  <si>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</si>
  <si>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</si>
  <si>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</si>
  <si>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</si>
  <si>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</si>
  <si>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</si>
  <si>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</si>
  <si>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</si>
  <si>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</si>
  <si>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</si>
  <si>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</si>
  <si>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</si>
  <si>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</si>
  <si>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</si>
  <si>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</si>
  <si>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</si>
  <si>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</si>
  <si>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</si>
  <si>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</si>
  <si>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</si>
  <si>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</si>
  <si>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</si>
  <si>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</si>
  <si>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</si>
  <si>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</si>
  <si>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</si>
  <si>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</si>
  <si>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</si>
  <si>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</si>
  <si>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</si>
  <si>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</si>
  <si>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</si>
  <si>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</si>
  <si>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</si>
  <si>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</si>
  <si>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</si>
  <si>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</si>
  <si>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</si>
  <si>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</si>
  <si>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</si>
  <si>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</si>
  <si>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</si>
  <si>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</si>
  <si>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</si>
  <si>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</si>
  <si>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</si>
  <si>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</si>
  <si>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</si>
  <si>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</si>
  <si>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</si>
  <si>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</si>
  <si>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</si>
  <si>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</si>
  <si>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</si>
  <si>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</si>
  <si>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</si>
  <si>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</si>
  <si>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</si>
  <si>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</si>
  <si>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</si>
  <si>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</si>
  <si>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</si>
  <si>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</si>
  <si>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</si>
  <si>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</si>
  <si>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</si>
  <si>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</si>
  <si>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</si>
  <si>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</si>
  <si>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</si>
  <si>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</si>
  <si>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</si>
  <si>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</si>
  <si>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</si>
  <si>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</si>
  <si>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</si>
  <si>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</si>
  <si>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</si>
  <si>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</si>
  <si>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</si>
  <si>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</si>
  <si>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</si>
  <si>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</si>
  <si>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</si>
  <si>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</si>
  <si>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</si>
  <si>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</si>
  <si>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</si>
  <si>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</si>
  <si>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</si>
  <si>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</si>
  <si>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</si>
  <si>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</si>
  <si>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</si>
  <si>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</si>
  <si>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</si>
  <si>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</si>
  <si>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</si>
  <si>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</si>
  <si>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</si>
  <si>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</si>
  <si>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</si>
  <si>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</si>
  <si>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</si>
  <si>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</si>
  <si>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</si>
  <si>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</si>
  <si>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</si>
  <si>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</si>
  <si>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</si>
  <si>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</si>
  <si>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</si>
  <si>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</si>
  <si>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</si>
  <si>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</si>
  <si>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</si>
  <si>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</si>
  <si>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</si>
  <si>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</si>
  <si>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</si>
  <si>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</si>
  <si>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</si>
  <si>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</si>
  <si>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</si>
  <si>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</si>
  <si>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</si>
  <si>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</si>
  <si>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</si>
  <si>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</si>
  <si>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</si>
  <si>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</si>
  <si>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</si>
  <si>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</si>
  <si>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</si>
  <si>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</si>
  <si>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</si>
  <si>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</si>
  <si>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</si>
  <si>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</si>
  <si>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</si>
  <si>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</si>
  <si>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</si>
  <si>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</si>
  <si>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</si>
  <si>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</si>
  <si>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</si>
  <si>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</si>
  <si>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</si>
  <si>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</si>
  <si>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</si>
  <si>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</si>
  <si>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</si>
  <si>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</si>
  <si>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</si>
  <si>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</si>
  <si>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</si>
  <si>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</si>
  <si>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</si>
  <si>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</si>
  <si>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</si>
  <si>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</si>
  <si>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</si>
  <si>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</si>
  <si>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</si>
  <si>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</si>
  <si>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</si>
  <si>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</si>
  <si>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</si>
  <si>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</si>
  <si>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</si>
  <si>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</si>
  <si>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</si>
  <si>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</si>
  <si>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</si>
  <si>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</si>
  <si>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</si>
  <si>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</si>
  <si>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</si>
  <si>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</si>
  <si>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</si>
  <si>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</si>
  <si>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</si>
  <si>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</si>
  <si>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</si>
  <si>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</si>
  <si>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</si>
  <si>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</si>
  <si>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</si>
  <si>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</si>
  <si>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</si>
  <si>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</si>
  <si>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</si>
  <si>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</si>
  <si>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</si>
  <si>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</si>
  <si>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</si>
  <si>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</si>
  <si>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</si>
  <si>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</si>
  <si>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</si>
  <si>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</si>
  <si>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</si>
  <si>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</si>
  <si>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</si>
  <si>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</si>
  <si>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</si>
  <si>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</si>
  <si>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</si>
  <si>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</si>
  <si>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</si>
  <si>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</si>
  <si>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</si>
  <si>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</si>
  <si>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</si>
  <si>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</si>
  <si>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</si>
  <si>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</si>
  <si>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</si>
  <si>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</si>
  <si>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</si>
  <si>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</si>
  <si>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</si>
  <si>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</si>
  <si>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</si>
  <si>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</si>
  <si>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</si>
  <si>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</si>
  <si>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</si>
  <si>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</si>
  <si>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</si>
  <si>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</si>
  <si>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</si>
  <si>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</si>
  <si>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</si>
  <si>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</si>
  <si>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</si>
  <si>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</si>
  <si>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</si>
  <si>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</si>
  <si>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</si>
  <si>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</si>
  <si>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</si>
  <si>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</si>
  <si>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</si>
  <si>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</si>
  <si>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</si>
  <si>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</si>
  <si>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</si>
  <si>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</si>
  <si>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</si>
  <si>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</si>
  <si>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</si>
  <si>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</si>
  <si>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</si>
  <si>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</si>
  <si>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</si>
  <si>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</si>
  <si>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</si>
  <si>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</si>
  <si>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</si>
  <si>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</si>
  <si>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</si>
  <si>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</si>
  <si>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</si>
  <si>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</si>
  <si>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</si>
  <si>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</si>
  <si>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</si>
  <si>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</si>
  <si>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</si>
  <si>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</si>
  <si>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</si>
  <si>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</si>
  <si>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</si>
  <si>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</si>
  <si>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</si>
  <si>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</si>
  <si>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</si>
  <si>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</si>
  <si>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</si>
  <si>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</si>
  <si>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</si>
  <si>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</si>
  <si>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</si>
  <si>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</si>
  <si>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</si>
  <si>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</si>
  <si>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</si>
  <si>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</si>
  <si>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</si>
  <si>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</si>
  <si>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</si>
  <si>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</si>
  <si>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</si>
  <si>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</si>
  <si>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</si>
  <si>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</si>
  <si>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</si>
  <si>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</si>
  <si>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</si>
  <si>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</si>
  <si>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</si>
  <si>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</si>
  <si>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</si>
  <si>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</si>
  <si>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</si>
  <si>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</si>
  <si>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</si>
  <si>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</si>
  <si>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</si>
  <si>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</si>
  <si>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</si>
  <si>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</si>
  <si>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</si>
  <si>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</si>
  <si>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</si>
  <si>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</si>
  <si>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</si>
  <si>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</si>
  <si>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</si>
  <si>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</si>
  <si>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</si>
  <si>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</si>
  <si>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</si>
  <si>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</si>
  <si>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</si>
  <si>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</si>
  <si>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</si>
  <si>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</si>
  <si>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</si>
  <si>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</si>
  <si>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</si>
  <si>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</si>
  <si>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</si>
  <si>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</si>
  <si>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</si>
  <si>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</si>
  <si>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</si>
  <si>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</si>
  <si>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</si>
  <si>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</si>
  <si>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</si>
  <si>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</si>
  <si>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</si>
  <si>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</si>
  <si>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</si>
  <si>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</si>
  <si>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</si>
  <si>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</si>
  <si>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</si>
  <si>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</si>
  <si>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</si>
  <si>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</si>
  <si>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</si>
  <si>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</si>
  <si>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</si>
  <si>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</si>
  <si>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</si>
  <si>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</si>
  <si>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</si>
  <si>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</si>
  <si>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</si>
  <si>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</si>
  <si>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</si>
  <si>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</si>
  <si>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</si>
  <si>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</si>
  <si>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</si>
  <si>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</si>
  <si>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</si>
  <si>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</si>
  <si>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</si>
  <si>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</si>
  <si>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</si>
  <si>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</si>
  <si>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</si>
  <si>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</si>
  <si>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</si>
  <si>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</si>
  <si>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</si>
  <si>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</si>
  <si>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</si>
  <si>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</si>
  <si>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</si>
  <si>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</si>
  <si>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</si>
  <si>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</si>
  <si>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</si>
  <si>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</si>
  <si>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</si>
  <si>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</si>
  <si>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</si>
  <si>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</si>
  <si>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</si>
  <si>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</si>
  <si>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</si>
  <si>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</si>
  <si>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</si>
  <si>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</si>
  <si>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</si>
  <si>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</si>
  <si>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</si>
  <si>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</si>
  <si>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</si>
  <si>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</si>
  <si>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</si>
  <si>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</si>
  <si>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</si>
  <si>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</si>
  <si>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</si>
  <si>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</si>
  <si>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</si>
  <si>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</si>
  <si>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</si>
  <si>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</si>
  <si>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</si>
  <si>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</si>
  <si>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</si>
  <si>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</si>
  <si>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</si>
  <si>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</si>
  <si>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</si>
  <si>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</si>
  <si>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</si>
  <si>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</si>
  <si>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</si>
  <si>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</si>
  <si>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</si>
  <si>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</si>
  <si>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</si>
  <si>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</si>
  <si>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</si>
  <si>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</si>
  <si>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</si>
  <si>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</si>
  <si>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</si>
  <si>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</si>
  <si>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</si>
  <si>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</si>
  <si>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</si>
  <si>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</si>
  <si>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</si>
  <si>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</si>
  <si>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</si>
  <si>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</si>
  <si>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</si>
  <si>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</si>
  <si>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</si>
  <si>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</si>
  <si>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</si>
  <si>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</si>
  <si>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</si>
  <si>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</si>
  <si>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</si>
  <si>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</si>
  <si>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</si>
  <si>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</si>
  <si>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</si>
  <si>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</si>
  <si>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</si>
  <si>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</si>
  <si>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</si>
  <si>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</si>
  <si>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</si>
  <si>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</si>
  <si>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</si>
  <si>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</si>
  <si>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</si>
  <si>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</si>
  <si>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</si>
  <si>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</si>
  <si>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</si>
  <si>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</si>
  <si>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</si>
  <si>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</si>
  <si>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</si>
  <si>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</si>
  <si>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</si>
  <si>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</si>
  <si>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</si>
  <si>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</si>
  <si>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</si>
  <si>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</si>
  <si>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</si>
  <si>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</si>
  <si>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</si>
  <si>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</si>
  <si>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</si>
  <si>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</si>
  <si>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</si>
  <si>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</si>
  <si>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</si>
  <si>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</si>
  <si>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</si>
  <si>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</si>
  <si>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</si>
  <si>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</si>
  <si>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</si>
  <si>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</si>
  <si>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</si>
  <si>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</si>
  <si>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</si>
  <si>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</si>
  <si>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</si>
  <si>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</si>
  <si>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</si>
  <si>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</si>
  <si>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</si>
  <si>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</si>
  <si>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</si>
  <si>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</si>
  <si>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</si>
  <si>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</si>
  <si>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</si>
  <si>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</si>
  <si>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</si>
  <si>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</si>
  <si>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</si>
  <si>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</si>
  <si>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</si>
  <si>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</si>
  <si>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</si>
  <si>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</si>
  <si>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</si>
  <si>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</si>
  <si>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</si>
  <si>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</si>
  <si>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</si>
  <si>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</si>
  <si>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</si>
  <si>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</si>
  <si>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</si>
  <si>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</si>
  <si>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</si>
  <si>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</si>
  <si>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</si>
  <si>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</si>
  <si>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</si>
  <si>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</si>
  <si>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</si>
  <si>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</si>
  <si>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</si>
  <si>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</si>
  <si>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</si>
  <si>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</si>
  <si>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</si>
  <si>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</si>
  <si>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</si>
  <si>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</si>
  <si>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</si>
  <si>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</si>
  <si>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</si>
  <si>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</si>
  <si>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</si>
  <si>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</si>
  <si>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</si>
  <si>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</si>
  <si>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</si>
  <si>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</si>
  <si>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</si>
  <si>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</si>
  <si>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</si>
  <si>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</si>
  <si>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</si>
  <si>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</si>
  <si>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</si>
  <si>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</si>
  <si>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</si>
  <si>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</si>
  <si>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</si>
  <si>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</si>
  <si>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</si>
  <si>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</si>
  <si>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</si>
  <si>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</si>
  <si>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</si>
  <si>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</si>
  <si>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</si>
  <si>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</si>
  <si>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</si>
  <si>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</si>
  <si>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</si>
  <si>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</si>
  <si>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</si>
  <si>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</si>
  <si>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</si>
  <si>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</si>
  <si>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</si>
  <si>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</si>
  <si>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</si>
  <si>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</si>
  <si>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</si>
  <si>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</si>
  <si>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</si>
  <si>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</si>
  <si>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</si>
  <si>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</si>
  <si>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</si>
  <si>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</si>
  <si>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</si>
  <si>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</si>
  <si>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</si>
  <si>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</si>
  <si>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</si>
  <si>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</si>
  <si>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</si>
  <si>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</si>
  <si>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</si>
  <si>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</si>
  <si>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</si>
  <si>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</si>
  <si>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</si>
  <si>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</si>
  <si>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</si>
  <si>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</si>
  <si>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</si>
  <si>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</si>
  <si>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</si>
  <si>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</si>
  <si>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</si>
  <si>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</si>
  <si>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</si>
  <si>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</si>
  <si>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</si>
  <si>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</si>
  <si>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</si>
  <si>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</si>
  <si>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</si>
  <si>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</si>
  <si>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</si>
  <si>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</si>
  <si>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</si>
  <si>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</si>
  <si>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</si>
  <si>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</si>
  <si>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</si>
  <si>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</si>
  <si>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</si>
  <si>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</si>
  <si>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</si>
  <si>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</si>
  <si>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</si>
  <si>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</si>
  <si>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</si>
  <si>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</si>
  <si>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</si>
  <si>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</si>
  <si>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</si>
  <si>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</si>
  <si>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</si>
  <si>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</si>
  <si>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</si>
  <si>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</si>
  <si>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</si>
  <si>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</si>
  <si>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</si>
  <si>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</si>
  <si>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</si>
  <si>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</si>
  <si>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</si>
  <si>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</si>
  <si>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</si>
  <si>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</si>
  <si>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</si>
  <si>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</si>
  <si>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</si>
  <si>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</si>
  <si>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</si>
  <si>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</si>
  <si>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</si>
  <si>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</si>
  <si>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</si>
  <si>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</si>
  <si>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</si>
  <si>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</si>
  <si>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</si>
  <si>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</si>
  <si>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</si>
  <si>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</si>
  <si>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</si>
  <si>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</si>
  <si>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</si>
  <si>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</si>
  <si>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</si>
  <si>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</si>
  <si>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</si>
  <si>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</si>
  <si>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</si>
  <si>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</si>
  <si>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</si>
  <si>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</si>
  <si>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</si>
  <si>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</si>
  <si>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</si>
  <si>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</si>
  <si>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</si>
  <si>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</si>
  <si>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</si>
  <si>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</si>
  <si>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</si>
  <si>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</si>
  <si>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</si>
  <si>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</si>
  <si>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</si>
  <si>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</si>
  <si>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</si>
  <si>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</si>
  <si>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</si>
  <si>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</si>
  <si>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</si>
  <si>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</si>
  <si>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</si>
  <si>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</si>
  <si>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</si>
  <si>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</si>
  <si>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</si>
  <si>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</si>
  <si>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</si>
  <si>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</si>
  <si>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</si>
  <si>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</si>
  <si>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</si>
  <si>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</si>
  <si>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</si>
  <si>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</si>
  <si>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</si>
  <si>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</si>
  <si>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</si>
  <si>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</si>
  <si>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</si>
  <si>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</si>
  <si>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</si>
  <si>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</si>
  <si>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</si>
  <si>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</si>
  <si>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</si>
  <si>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</si>
  <si>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</si>
  <si>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</si>
  <si>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</si>
  <si>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</si>
  <si>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</si>
  <si>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</si>
  <si>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</si>
  <si>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</si>
  <si>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</si>
  <si>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</si>
  <si>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</si>
  <si>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</si>
  <si>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</si>
  <si>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</si>
  <si>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</si>
  <si>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</si>
  <si>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</si>
  <si>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</si>
  <si>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</si>
  <si>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</si>
  <si>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</si>
  <si>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</si>
  <si>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</si>
  <si>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</si>
  <si>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</si>
  <si>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</si>
  <si>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</si>
  <si>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</si>
  <si>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</si>
  <si>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</si>
  <si>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</si>
  <si>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</si>
  <si>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</si>
  <si>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</si>
  <si>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</si>
  <si>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</si>
  <si>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</si>
  <si>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</si>
  <si>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</si>
  <si>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</si>
  <si>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</si>
  <si>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</si>
  <si>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</si>
  <si>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</si>
  <si>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</si>
  <si>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</si>
  <si>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</si>
  <si>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</si>
  <si>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</si>
  <si>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</si>
  <si>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</si>
  <si>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</si>
  <si>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</si>
  <si>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</si>
  <si>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</si>
  <si>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</si>
  <si>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</si>
  <si>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</si>
  <si>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</si>
  <si>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</si>
  <si>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</si>
  <si>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</si>
  <si>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</si>
  <si>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</si>
  <si>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</si>
  <si>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</si>
  <si>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</si>
  <si>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</si>
  <si>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</si>
  <si>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</si>
  <si>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</si>
  <si>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</si>
  <si>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</si>
  <si>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</si>
  <si>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</si>
  <si>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</si>
  <si>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</si>
  <si>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</si>
  <si>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</si>
  <si>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</si>
  <si>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</si>
  <si>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</si>
  <si>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</si>
  <si>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</si>
  <si>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</si>
  <si>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</si>
  <si>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</si>
  <si>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</si>
  <si>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</si>
  <si>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</si>
  <si>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</si>
  <si>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</si>
  <si>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</si>
  <si>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</si>
  <si>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</si>
  <si>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</si>
  <si>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</si>
  <si>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</si>
  <si>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</si>
  <si>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</si>
  <si>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</si>
  <si>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</si>
  <si>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</si>
  <si>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</si>
  <si>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</si>
  <si>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</si>
  <si>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</si>
  <si>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</si>
  <si>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</si>
  <si>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</si>
  <si>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</si>
  <si>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</si>
  <si>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</si>
  <si>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</si>
  <si>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</si>
  <si>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</si>
  <si>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</si>
  <si>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</si>
  <si>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</si>
  <si>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</si>
  <si>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</si>
  <si>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</si>
  <si>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</si>
  <si>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</si>
  <si>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</si>
  <si>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</si>
  <si>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</si>
  <si>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</si>
  <si>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</si>
  <si>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</si>
  <si>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</si>
  <si>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</si>
  <si>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</si>
  <si>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</si>
  <si>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</si>
  <si>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</si>
  <si>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</si>
  <si>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</si>
  <si>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</si>
  <si>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</si>
  <si>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</si>
  <si>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</si>
  <si>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</si>
  <si>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</si>
  <si>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</si>
  <si>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</si>
  <si>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</si>
  <si>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</si>
  <si>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</si>
  <si>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</si>
  <si>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</si>
  <si>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</si>
  <si>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</si>
  <si>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</si>
  <si>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</si>
  <si>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</si>
  <si>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</si>
  <si>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</si>
  <si>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</si>
  <si>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</si>
  <si>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</si>
  <si>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</si>
  <si>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</si>
  <si>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</si>
  <si>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</si>
  <si>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</si>
  <si>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</si>
  <si>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</si>
  <si>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</si>
  <si>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</si>
  <si>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</si>
  <si>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</si>
  <si>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</si>
  <si>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</si>
  <si>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</si>
  <si>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</si>
  <si>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</si>
  <si>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</si>
  <si>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</si>
  <si>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</si>
  <si>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</si>
  <si>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</si>
  <si>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</si>
  <si>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</si>
  <si>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</si>
  <si>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</si>
  <si>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</si>
  <si>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</si>
  <si>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</si>
  <si>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</si>
  <si>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</si>
  <si>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</si>
  <si>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</si>
  <si>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</si>
  <si>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</si>
  <si>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</si>
  <si>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</si>
  <si>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</si>
  <si>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</si>
  <si>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</si>
  <si>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</si>
  <si>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</si>
  <si>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</si>
  <si>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</si>
  <si>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</si>
  <si>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</si>
  <si>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</si>
  <si>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</si>
  <si>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</si>
  <si>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</si>
  <si>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</si>
  <si>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</si>
  <si>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</si>
  <si>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</si>
  <si>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</si>
  <si>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</si>
  <si>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</si>
  <si>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</si>
  <si>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</si>
  <si>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</si>
  <si>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</si>
  <si>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</si>
  <si>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</si>
  <si>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</si>
  <si>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</si>
  <si>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</si>
  <si>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</si>
  <si>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</si>
  <si>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</si>
  <si>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</si>
  <si>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</si>
  <si>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</si>
  <si>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</si>
  <si>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</si>
  <si>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</si>
  <si>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</si>
  <si>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</si>
  <si>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</si>
  <si>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</si>
  <si>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</si>
  <si>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</si>
  <si>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</si>
  <si>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</si>
  <si>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</si>
  <si>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</si>
  <si>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</si>
  <si>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</si>
  <si>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</si>
  <si>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</si>
  <si>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</si>
  <si>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</si>
  <si>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</si>
  <si>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</si>
  <si>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</si>
  <si>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</si>
  <si>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</si>
  <si>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</si>
  <si>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</si>
  <si>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</si>
  <si>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</si>
  <si>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</si>
  <si>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</si>
  <si>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</si>
  <si>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</si>
  <si>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</si>
  <si>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</si>
  <si>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</si>
  <si>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</si>
  <si>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</si>
  <si>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</si>
  <si>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</si>
  <si>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</si>
  <si>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</si>
  <si>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</si>
  <si>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</si>
  <si>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</si>
  <si>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</si>
  <si>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</si>
  <si>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</si>
  <si>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</si>
  <si>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</si>
  <si>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</si>
  <si>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</si>
  <si>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</si>
  <si>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</si>
  <si>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</si>
  <si>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</si>
  <si>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</si>
  <si>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</si>
  <si>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</si>
  <si>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</si>
  <si>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</si>
  <si>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</si>
  <si>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</si>
  <si>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</si>
  <si>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</si>
  <si>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</si>
  <si>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</si>
  <si>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</si>
  <si>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</si>
  <si>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</si>
  <si>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</si>
  <si>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</si>
  <si>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</si>
  <si>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</si>
  <si>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</si>
  <si>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</si>
  <si>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</si>
  <si>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</si>
  <si>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</si>
  <si>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</si>
  <si>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</si>
  <si>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</si>
  <si>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</si>
  <si>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</si>
  <si>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</si>
  <si>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</si>
  <si>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</si>
  <si>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</si>
  <si>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</si>
  <si>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</si>
  <si>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</si>
  <si>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</si>
  <si>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</si>
  <si>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</si>
  <si>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</si>
  <si>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</si>
  <si>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</si>
  <si>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</si>
  <si>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</si>
  <si>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</si>
  <si>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</si>
  <si>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</si>
  <si>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</si>
  <si>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</si>
  <si>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</si>
  <si>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</si>
  <si>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</si>
  <si>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</si>
  <si>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</si>
  <si>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</si>
  <si>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</si>
  <si>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</si>
  <si>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</si>
  <si>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</si>
  <si>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</si>
  <si>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</si>
  <si>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</si>
  <si>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</si>
  <si>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</si>
  <si>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</si>
  <si>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</si>
  <si>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</si>
  <si>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</si>
  <si>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</si>
  <si>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</si>
  <si>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</si>
  <si>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</si>
  <si>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</si>
  <si>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</si>
  <si>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</si>
  <si>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</si>
  <si>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</si>
  <si>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</si>
  <si>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</si>
  <si>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</si>
  <si>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</si>
  <si>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</si>
  <si>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</si>
  <si>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</si>
  <si>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</si>
  <si>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</si>
  <si>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</si>
  <si>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</si>
  <si>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</si>
  <si>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</si>
  <si>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</si>
  <si>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</si>
  <si>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</si>
  <si>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</si>
  <si>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</si>
  <si>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</si>
  <si>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</si>
  <si>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</si>
  <si>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</si>
  <si>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</si>
  <si>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</si>
  <si>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</si>
  <si>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</si>
  <si>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</si>
  <si>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</si>
  <si>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</si>
  <si>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</si>
  <si>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</si>
  <si>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</si>
  <si>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</si>
  <si>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</si>
  <si>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</si>
  <si>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</si>
  <si>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</si>
  <si>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</si>
  <si>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</si>
  <si>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</si>
  <si>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</si>
  <si>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</si>
  <si>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</si>
  <si>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</si>
  <si>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</si>
  <si>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</si>
  <si>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</si>
  <si>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</si>
  <si>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</si>
  <si>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</si>
  <si>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</si>
  <si>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</si>
  <si>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</si>
  <si>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</si>
  <si>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</si>
  <si>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</si>
  <si>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</si>
  <si>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</si>
  <si>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</si>
  <si>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</si>
  <si>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</si>
  <si>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</si>
  <si>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</si>
  <si>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</si>
  <si>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</si>
  <si>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</si>
  <si>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</si>
  <si>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</si>
  <si>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</si>
  <si>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</si>
  <si>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</si>
  <si>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</si>
  <si>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</si>
  <si>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</si>
  <si>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</si>
  <si>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</si>
  <si>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</si>
  <si>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</si>
  <si>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</si>
  <si>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</si>
  <si>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</si>
  <si>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</si>
  <si>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</si>
  <si>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</si>
  <si>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</si>
  <si>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</si>
  <si>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</si>
  <si>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</si>
  <si>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</si>
  <si>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</si>
  <si>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</si>
  <si>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</si>
  <si>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</si>
  <si>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</si>
  <si>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</si>
  <si>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</si>
  <si>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</si>
  <si>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</si>
  <si>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</si>
  <si>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</si>
  <si>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</si>
  <si>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</si>
  <si>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</si>
  <si>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</si>
  <si>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</si>
  <si>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</si>
  <si>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</si>
  <si>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</si>
  <si>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</si>
  <si>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</si>
  <si>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</si>
  <si>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</si>
  <si>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</si>
  <si>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</si>
  <si>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</si>
  <si>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</si>
  <si>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</si>
  <si>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</si>
  <si>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</si>
  <si>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</si>
  <si>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</si>
  <si>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</si>
  <si>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</si>
  <si>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</si>
  <si>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</si>
  <si>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</si>
  <si>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</si>
  <si>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</si>
  <si>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</si>
  <si>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</si>
  <si>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</si>
  <si>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</si>
  <si>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</si>
  <si>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</si>
  <si>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</si>
  <si>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</si>
  <si>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</si>
  <si>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</si>
  <si>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</si>
  <si>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</si>
  <si>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</si>
  <si>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</si>
  <si>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</si>
  <si>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</si>
  <si>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</si>
  <si>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</si>
  <si>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</si>
  <si>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</si>
  <si>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</si>
  <si>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</si>
  <si>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</si>
  <si>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</si>
  <si>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</si>
  <si>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</si>
  <si>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</si>
  <si>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</si>
  <si>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</si>
  <si>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</si>
  <si>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</si>
  <si>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</si>
  <si>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</si>
  <si>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</si>
  <si>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</si>
  <si>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</si>
  <si>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</si>
  <si>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</si>
  <si>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</si>
  <si>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</si>
  <si>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</si>
  <si>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</si>
  <si>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</si>
  <si>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</si>
  <si>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</si>
  <si>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</si>
  <si>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</si>
  <si>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</si>
  <si>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</si>
  <si>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</si>
  <si>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</si>
  <si>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</si>
  <si>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</si>
  <si>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</si>
  <si>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</si>
  <si>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</si>
  <si>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</si>
  <si>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</si>
  <si>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</si>
  <si>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</si>
  <si>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</si>
  <si>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</si>
  <si>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</si>
  <si>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</si>
  <si>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</si>
  <si>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</si>
  <si>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</si>
  <si>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</si>
  <si>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</si>
  <si>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</si>
  <si>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</si>
  <si>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</si>
  <si>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</si>
  <si>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</si>
  <si>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</si>
  <si>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</si>
  <si>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</si>
  <si>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</si>
  <si>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</si>
  <si>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</si>
  <si>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</si>
  <si>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</si>
  <si>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</si>
  <si>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</si>
  <si>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</si>
  <si>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</si>
  <si>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</si>
  <si>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</si>
  <si>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</si>
  <si>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</si>
  <si>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</si>
  <si>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</si>
  <si>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</si>
  <si>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</si>
  <si>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</si>
  <si>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</si>
  <si>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</si>
  <si>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</si>
  <si>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</si>
  <si>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</si>
  <si>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</si>
  <si>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</si>
  <si>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</si>
  <si>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</si>
  <si>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</si>
  <si>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</si>
  <si>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</si>
  <si>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</si>
  <si>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</si>
  <si>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</si>
  <si>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</si>
  <si>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</si>
  <si>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</si>
  <si>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</si>
  <si>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</si>
  <si>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</si>
  <si>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</si>
  <si>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</si>
  <si>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</si>
  <si>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</si>
  <si>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</si>
  <si>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</si>
  <si>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</si>
  <si>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</si>
  <si>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</si>
  <si>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</si>
  <si>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</si>
  <si>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</si>
  <si>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</si>
  <si>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</si>
  <si>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</si>
  <si>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</si>
  <si>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</si>
  <si>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</si>
  <si>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</si>
  <si>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</si>
  <si>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</si>
  <si>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</si>
  <si>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</si>
  <si>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</si>
  <si>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</si>
  <si>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</si>
  <si>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</si>
  <si>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</si>
  <si>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</si>
  <si>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</si>
  <si>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</si>
  <si>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</si>
  <si>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</si>
  <si>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</si>
  <si>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</si>
  <si>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</si>
  <si>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</si>
  <si>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</si>
  <si>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</si>
  <si>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</si>
  <si>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</si>
  <si>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</si>
  <si>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</si>
  <si>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</si>
  <si>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</si>
  <si>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</si>
  <si>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</si>
  <si>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</si>
  <si>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</si>
  <si>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</si>
  <si>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</si>
  <si>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</si>
  <si>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</si>
  <si>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</si>
  <si>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</si>
  <si>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</si>
  <si>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</si>
  <si>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</si>
  <si>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</si>
  <si>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</si>
  <si>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</si>
  <si>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</si>
  <si>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</si>
  <si>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</si>
  <si>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</si>
  <si>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</si>
  <si>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</si>
  <si>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</si>
  <si>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</si>
  <si>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</si>
  <si>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</si>
  <si>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</si>
  <si>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</si>
  <si>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</si>
  <si>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</si>
  <si>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</si>
  <si>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</si>
  <si>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</si>
  <si>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</si>
  <si>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</si>
  <si>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</si>
  <si>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</si>
  <si>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</si>
  <si>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</si>
  <si>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</si>
  <si>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</si>
  <si>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</si>
  <si>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</si>
  <si>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</si>
  <si>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</si>
  <si>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</si>
  <si>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</si>
  <si>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</si>
  <si>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</si>
  <si>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</si>
  <si>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</si>
  <si>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</si>
  <si>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</si>
  <si>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</si>
  <si>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</si>
  <si>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</si>
  <si>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</si>
  <si>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</si>
  <si>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</si>
  <si>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</si>
  <si>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</si>
  <si>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</si>
  <si>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</si>
  <si>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</si>
  <si>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</si>
  <si>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</si>
  <si>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</si>
  <si>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</si>
  <si>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</si>
  <si>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</si>
  <si>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</si>
  <si>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</si>
  <si>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</si>
  <si>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</si>
  <si>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</si>
  <si>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</si>
  <si>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</si>
  <si>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</si>
  <si>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</si>
  <si>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</si>
  <si>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</si>
  <si>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</si>
  <si>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</si>
  <si>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</si>
  <si>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</si>
  <si>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</si>
  <si>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</si>
  <si>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</si>
  <si>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</si>
  <si>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</si>
  <si>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</si>
  <si>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</si>
  <si>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</si>
  <si>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</si>
  <si>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</si>
  <si>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</si>
  <si>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</si>
  <si>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</si>
  <si>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</si>
  <si>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</si>
  <si>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</si>
  <si>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</si>
  <si>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</si>
  <si>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</si>
  <si>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</si>
  <si>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</si>
  <si>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</si>
  <si>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</si>
  <si>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</si>
  <si>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</si>
  <si>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</si>
  <si>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</si>
  <si>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</si>
  <si>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</si>
  <si>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</si>
  <si>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</si>
  <si>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</si>
  <si>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</si>
  <si>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</si>
  <si>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</si>
  <si>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</si>
  <si>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</si>
  <si>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</si>
  <si>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</si>
  <si>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</si>
  <si>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</si>
  <si>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</si>
  <si>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</si>
  <si>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</si>
  <si>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</si>
  <si>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</si>
  <si>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</si>
  <si>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</si>
  <si>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</si>
  <si>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</si>
  <si>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</si>
  <si>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</si>
  <si>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</si>
  <si>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</si>
  <si>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</si>
  <si>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</si>
  <si>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</si>
  <si>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</si>
  <si>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</si>
  <si>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</si>
  <si>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</si>
  <si>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</si>
  <si>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</si>
  <si>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</si>
  <si>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</si>
  <si>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</si>
  <si>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</si>
  <si>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</si>
  <si>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</si>
  <si>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</si>
  <si>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</si>
  <si>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</si>
  <si>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</si>
  <si>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</si>
  <si>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</si>
  <si>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</si>
  <si>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</si>
  <si>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</si>
  <si>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</si>
  <si>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</si>
  <si>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</si>
  <si>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</si>
  <si>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</si>
  <si>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</si>
  <si>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</si>
  <si>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</si>
  <si>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</si>
  <si>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</si>
  <si>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</si>
  <si>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</si>
  <si>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</si>
  <si>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</si>
  <si>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</si>
  <si>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</si>
  <si>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</si>
  <si>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</si>
  <si>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</si>
  <si>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</si>
  <si>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</si>
  <si>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</si>
  <si>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</si>
  <si>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</si>
  <si>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</si>
  <si>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</si>
  <si>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</si>
  <si>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</si>
  <si>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</si>
  <si>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</si>
  <si>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</si>
  <si>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</si>
  <si>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</si>
  <si>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</si>
  <si>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</si>
  <si>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</si>
  <si>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</si>
  <si>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</si>
  <si>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</si>
  <si>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</si>
  <si>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</si>
  <si>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</si>
  <si>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</si>
  <si>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</si>
  <si>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</si>
  <si>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</si>
  <si>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</si>
  <si>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</si>
  <si>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</si>
  <si>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</si>
  <si>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</si>
  <si>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</si>
  <si>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</si>
  <si>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</si>
  <si>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</si>
  <si>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</si>
  <si>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</si>
  <si>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</si>
  <si>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</si>
  <si>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</si>
  <si>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</si>
  <si>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</si>
  <si>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</si>
  <si>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</si>
  <si>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</si>
  <si>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</si>
  <si>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</si>
  <si>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</si>
  <si>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</si>
  <si>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</si>
  <si>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</si>
  <si>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</si>
  <si>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</si>
  <si>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</si>
  <si>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</si>
  <si>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</si>
  <si>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</si>
  <si>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</si>
  <si>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</si>
  <si>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</si>
  <si>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</si>
  <si>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</si>
  <si>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</si>
  <si>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</si>
  <si>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</si>
  <si>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</si>
  <si>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</si>
  <si>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</si>
  <si>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</si>
  <si>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</si>
  <si>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</si>
  <si>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</si>
  <si>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</si>
  <si>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</si>
  <si>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</si>
  <si>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</si>
  <si>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</si>
  <si>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</si>
  <si>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</si>
  <si>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</si>
  <si>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</si>
  <si>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</si>
  <si>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</si>
  <si>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</si>
  <si>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</si>
  <si>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</si>
  <si>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</si>
  <si>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</si>
  <si>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</si>
  <si>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</si>
  <si>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</si>
  <si>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</si>
  <si>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</si>
  <si>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</si>
  <si>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</si>
  <si>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</si>
  <si>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</si>
  <si>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</si>
  <si>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</si>
  <si>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</si>
  <si>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</si>
  <si>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</si>
  <si>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</si>
  <si>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</si>
  <si>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</si>
  <si>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</si>
  <si>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</si>
  <si>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</si>
  <si>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</si>
  <si>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</si>
  <si>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</si>
  <si>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</si>
  <si>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</si>
  <si>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</si>
  <si>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</si>
  <si>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</si>
  <si>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</si>
  <si>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</si>
  <si>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</si>
  <si>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</si>
  <si>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</si>
  <si>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</si>
  <si>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</si>
  <si>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</si>
  <si>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</si>
  <si>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</si>
  <si>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</si>
  <si>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</si>
  <si>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</si>
  <si>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</si>
  <si>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</si>
  <si>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</si>
  <si>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</si>
  <si>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</si>
  <si>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</si>
  <si>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</si>
  <si>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</si>
  <si>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</si>
  <si>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</si>
  <si>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</si>
  <si>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</si>
  <si>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</si>
  <si>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</si>
  <si>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</si>
  <si>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</si>
  <si>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</si>
  <si>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</si>
  <si>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</si>
  <si>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</si>
  <si>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</si>
  <si>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</si>
  <si>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</si>
  <si>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</si>
  <si>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</si>
  <si>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</si>
  <si>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</si>
  <si>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</si>
  <si>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</si>
  <si>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</si>
  <si>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</si>
  <si>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</si>
  <si>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</si>
  <si>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</si>
  <si>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</si>
  <si>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</si>
  <si>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</si>
  <si>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</si>
  <si>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</si>
  <si>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</si>
  <si>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</si>
  <si>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</si>
  <si>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</si>
  <si>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</si>
  <si>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</si>
  <si>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</si>
  <si>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</si>
  <si>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</si>
  <si>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</si>
  <si>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</si>
  <si>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</si>
  <si>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</si>
  <si>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</si>
  <si>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</si>
  <si>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</si>
  <si>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</si>
  <si>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</si>
  <si>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</si>
  <si>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</si>
  <si>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</si>
  <si>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</si>
  <si>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</si>
  <si>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</si>
  <si>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</si>
  <si>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</si>
  <si>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</si>
  <si>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</si>
  <si>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</si>
  <si>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</si>
  <si>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</si>
  <si>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</si>
  <si>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</si>
  <si>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</si>
  <si>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</si>
  <si>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</si>
  <si>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</si>
  <si>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</si>
  <si>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</si>
  <si>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</si>
  <si>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</si>
  <si>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</si>
  <si>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</si>
  <si>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</si>
  <si>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</si>
  <si>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</si>
  <si>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</si>
  <si>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</si>
  <si>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</si>
  <si>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</si>
  <si>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</si>
  <si>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</si>
  <si>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</si>
  <si>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</si>
  <si>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</si>
  <si>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</si>
  <si>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</si>
  <si>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</si>
  <si>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</si>
  <si>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</si>
  <si>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</si>
  <si>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</si>
  <si>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</si>
  <si>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</si>
  <si>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</si>
  <si>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</si>
  <si>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</si>
  <si>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</si>
  <si>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</si>
  <si>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</si>
  <si>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</si>
  <si>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</si>
  <si>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</si>
  <si>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</si>
  <si>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</si>
  <si>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</si>
  <si>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</si>
  <si>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</si>
  <si>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</si>
  <si>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</si>
  <si>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</si>
  <si>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</si>
  <si>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</si>
  <si>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</si>
  <si>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</si>
  <si>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</si>
  <si>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</si>
  <si>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</si>
  <si>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</si>
  <si>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</si>
  <si>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</si>
  <si>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</si>
  <si>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</si>
  <si>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</si>
  <si>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</si>
  <si>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</si>
  <si>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</si>
  <si>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</si>
  <si>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</si>
  <si>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</si>
  <si>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</si>
  <si>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</si>
  <si>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</si>
  <si>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</si>
  <si>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</si>
  <si>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</si>
  <si>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</si>
  <si>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</si>
  <si>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</si>
  <si>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</si>
  <si>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</si>
  <si>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</si>
  <si>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</si>
  <si>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</si>
  <si>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</si>
  <si>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</si>
  <si>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</si>
  <si>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</si>
  <si>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</si>
  <si>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</si>
  <si>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</si>
  <si>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</si>
  <si>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</si>
  <si>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</si>
  <si>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</si>
  <si>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</si>
  <si>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</si>
  <si>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</si>
  <si>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</si>
  <si>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</si>
  <si>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</si>
  <si>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</si>
  <si>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</si>
  <si>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</si>
  <si>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</si>
  <si>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</si>
  <si>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</si>
  <si>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</si>
  <si>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</si>
  <si>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</si>
  <si>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</si>
  <si>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</si>
  <si>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</si>
  <si>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</si>
  <si>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</si>
  <si>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</si>
  <si>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</si>
  <si>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</si>
  <si>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</si>
  <si>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</si>
  <si>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</si>
  <si>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</si>
  <si>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</si>
  <si>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</si>
  <si>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</si>
  <si>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</si>
  <si>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</si>
  <si>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</si>
  <si>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</si>
  <si>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</si>
  <si>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</si>
  <si>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</si>
  <si>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</si>
  <si>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</si>
  <si>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</si>
  <si>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</si>
  <si>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</si>
  <si>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</si>
  <si>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</si>
  <si>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</si>
  <si>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</si>
  <si>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</si>
  <si>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</si>
  <si>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</si>
  <si>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</si>
  <si>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</si>
  <si>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</si>
  <si>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</si>
  <si>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</si>
  <si>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</si>
  <si>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</si>
  <si>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</si>
  <si>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</si>
  <si>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</si>
  <si>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</si>
  <si>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</si>
  <si>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</si>
  <si>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</si>
  <si>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</si>
  <si>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</si>
  <si>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</si>
  <si>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</si>
  <si>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</si>
  <si>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</si>
  <si>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</si>
  <si>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</si>
  <si>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</si>
  <si>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</si>
  <si>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</si>
  <si>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</si>
  <si>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</si>
  <si>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</si>
  <si>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</si>
  <si>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</si>
  <si>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</si>
  <si>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</si>
  <si>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</si>
  <si>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</si>
  <si>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</si>
  <si>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</si>
  <si>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</si>
  <si>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</si>
  <si>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</si>
  <si>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</si>
  <si>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</si>
  <si>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</si>
  <si>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</si>
  <si>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</si>
  <si>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</si>
  <si>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</si>
  <si>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</si>
  <si>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</si>
  <si>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</si>
  <si>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</si>
  <si>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</si>
  <si>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</si>
  <si>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</si>
  <si>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</si>
  <si>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</si>
  <si>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</si>
  <si>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</si>
  <si>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</si>
  <si>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</si>
  <si>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</si>
  <si>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</si>
  <si>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</si>
  <si>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</si>
  <si>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</si>
  <si>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</si>
  <si>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</si>
  <si>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</si>
  <si>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</si>
  <si>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</si>
  <si>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</si>
  <si>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</si>
  <si>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</si>
  <si>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</si>
  <si>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</si>
  <si>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</si>
  <si>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</si>
  <si>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</si>
  <si>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</si>
  <si>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</si>
  <si>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</si>
  <si>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</si>
  <si>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</si>
  <si>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</si>
  <si>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</si>
  <si>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</si>
  <si>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</si>
  <si>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</si>
  <si>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</si>
  <si>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</si>
  <si>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</si>
  <si>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</si>
  <si>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</si>
  <si>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</si>
  <si>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</si>
  <si>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</si>
  <si>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</si>
  <si>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</si>
  <si>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</si>
  <si>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</si>
  <si>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</si>
  <si>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</si>
  <si>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</si>
  <si>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</si>
  <si>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</si>
  <si>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</si>
  <si>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</si>
  <si>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</si>
  <si>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</si>
  <si>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</si>
  <si>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</si>
  <si>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</si>
  <si>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</si>
  <si>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</si>
  <si>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</si>
  <si>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</si>
  <si>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</si>
  <si>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</si>
  <si>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</si>
  <si>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</si>
  <si>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</si>
  <si>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</si>
  <si>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</si>
  <si>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</si>
  <si>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</si>
  <si>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</si>
  <si>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</si>
  <si>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</si>
  <si>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</si>
  <si>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</si>
  <si>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</si>
  <si>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</si>
  <si>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</si>
  <si>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</si>
  <si>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</si>
  <si>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</si>
  <si>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</si>
  <si>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</si>
  <si>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</si>
  <si>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</si>
  <si>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</si>
  <si>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</si>
  <si>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</si>
  <si>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</si>
  <si>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</si>
  <si>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</si>
  <si>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</si>
  <si>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</si>
  <si>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</si>
  <si>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</si>
  <si>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</si>
  <si>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</si>
  <si>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</si>
  <si>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</si>
  <si>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</si>
  <si>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</si>
  <si>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</si>
  <si>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</si>
  <si>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</si>
  <si>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</si>
  <si>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</si>
  <si>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</si>
  <si>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</si>
  <si>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</si>
  <si>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</si>
  <si>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</si>
  <si>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</si>
  <si>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</si>
  <si>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</si>
  <si>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</si>
  <si>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</si>
  <si>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</si>
  <si>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</si>
  <si>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</si>
  <si>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</si>
  <si>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</si>
  <si>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</si>
  <si>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</si>
  <si>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</si>
  <si>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</si>
  <si>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</si>
  <si>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</si>
  <si>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</si>
  <si>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</si>
  <si>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</si>
  <si>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</si>
  <si>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</si>
  <si>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</si>
  <si>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</si>
  <si>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</si>
  <si>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</si>
  <si>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</si>
  <si>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</si>
  <si>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</si>
  <si>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</si>
  <si>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</si>
  <si>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</si>
  <si>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</si>
  <si>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</si>
  <si>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</si>
  <si>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</si>
  <si>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</si>
  <si>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</si>
  <si>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</si>
  <si>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</si>
  <si>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</si>
  <si>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</si>
  <si>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</si>
  <si>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</si>
  <si>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</si>
  <si>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</si>
  <si>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</si>
  <si>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</si>
  <si>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</si>
  <si>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</si>
  <si>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</si>
  <si>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</si>
  <si>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</si>
  <si>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</si>
  <si>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</si>
  <si>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</si>
  <si>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</si>
  <si>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</si>
  <si>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</si>
  <si>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</si>
  <si>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</si>
  <si>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</si>
  <si>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</si>
  <si>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</si>
  <si>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</si>
  <si>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</si>
  <si>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</si>
  <si>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</si>
  <si>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</si>
  <si>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</si>
  <si>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</si>
  <si>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</si>
  <si>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</si>
  <si>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</si>
  <si>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</si>
  <si>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</si>
  <si>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</si>
  <si>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</si>
  <si>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</si>
  <si>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</si>
  <si>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</si>
  <si>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</si>
  <si>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</si>
  <si>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</si>
  <si>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</si>
  <si>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</si>
  <si>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</si>
  <si>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</si>
  <si>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</si>
  <si>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</si>
  <si>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</si>
  <si>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</si>
  <si>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</si>
  <si>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</si>
  <si>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</si>
  <si>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</si>
  <si>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</si>
  <si>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</si>
  <si>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</si>
  <si>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</si>
  <si>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</si>
  <si>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</si>
  <si>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</si>
  <si>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</si>
  <si>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</si>
  <si>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</si>
  <si>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</si>
  <si>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</si>
  <si>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</si>
  <si>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</si>
  <si>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</si>
  <si>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</si>
  <si>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</si>
  <si>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</si>
  <si>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</si>
  <si>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</si>
  <si>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</si>
  <si>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</si>
  <si>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</si>
  <si>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</si>
  <si>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</si>
  <si>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</si>
  <si>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</si>
  <si>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</si>
  <si>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</si>
  <si>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</si>
  <si>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</si>
  <si>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</si>
  <si>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</si>
  <si>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</si>
  <si>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</si>
  <si>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</si>
  <si>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</si>
  <si>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</si>
  <si>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</si>
  <si>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</si>
  <si>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</si>
  <si>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</si>
  <si>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</si>
  <si>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</si>
  <si>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</si>
  <si>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</si>
  <si>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</si>
  <si>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</si>
  <si>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</si>
  <si>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</si>
  <si>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</si>
  <si>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</si>
  <si>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</si>
  <si>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</si>
  <si>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</si>
  <si>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</si>
  <si>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</si>
  <si>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</si>
  <si>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</si>
  <si>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</si>
  <si>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</si>
  <si>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</si>
  <si>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</si>
  <si>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</si>
  <si>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</si>
  <si>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</si>
  <si>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</si>
  <si>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</si>
  <si>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</si>
  <si>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</si>
  <si>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</si>
  <si>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</si>
  <si>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</si>
  <si>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</si>
  <si>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</si>
  <si>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</si>
  <si>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</si>
  <si>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</si>
  <si>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</si>
  <si>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</si>
  <si>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</si>
  <si>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</si>
  <si>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</si>
  <si>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</si>
  <si>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</si>
  <si>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</si>
  <si>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</si>
  <si>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</si>
  <si>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</si>
  <si>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</si>
  <si>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</si>
  <si>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</si>
  <si>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</si>
  <si>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</si>
  <si>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</si>
  <si>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</si>
  <si>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</si>
  <si>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</si>
  <si>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</si>
  <si>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</si>
  <si>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</si>
  <si>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</si>
  <si>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</si>
  <si>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</si>
  <si>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</si>
  <si>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</si>
  <si>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</si>
  <si>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</si>
  <si>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</si>
  <si>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</si>
  <si>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</si>
  <si>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</si>
  <si>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</si>
  <si>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</si>
  <si>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</si>
  <si>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</si>
  <si>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</si>
  <si>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</si>
  <si>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</si>
  <si>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</si>
  <si>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</si>
  <si>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</si>
  <si>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</si>
  <si>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</si>
  <si>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</si>
  <si>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</si>
  <si>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</si>
  <si>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</si>
  <si>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</si>
  <si>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</si>
  <si>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</si>
  <si>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</si>
  <si>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</si>
  <si>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</si>
  <si>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</si>
  <si>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</si>
  <si>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</si>
  <si>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</si>
  <si>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</si>
  <si>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</si>
  <si>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</si>
  <si>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</si>
  <si>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</si>
  <si>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</si>
  <si>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</si>
  <si>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</si>
  <si>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</si>
  <si>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</si>
  <si>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</si>
  <si>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</si>
  <si>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</si>
  <si>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</si>
  <si>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</si>
  <si>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</si>
  <si>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</si>
  <si>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</si>
  <si>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</si>
  <si>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</si>
  <si>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</si>
  <si>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</si>
  <si>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</si>
  <si>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</si>
  <si>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</si>
  <si>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</si>
  <si>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</si>
  <si>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</si>
  <si>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</si>
  <si>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</si>
  <si>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</si>
  <si>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</si>
  <si>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</si>
  <si>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</si>
  <si>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</si>
  <si>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</si>
  <si>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</si>
  <si>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</si>
  <si>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</si>
  <si>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</si>
  <si>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</si>
  <si>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</si>
  <si>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</si>
  <si>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</si>
  <si>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</si>
  <si>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</si>
  <si>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</si>
  <si>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</si>
  <si>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</si>
  <si>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</si>
  <si>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</si>
  <si>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</si>
  <si>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</si>
  <si>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</si>
  <si>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</si>
  <si>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</si>
  <si>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</si>
  <si>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</si>
  <si>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</si>
  <si>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</si>
  <si>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</si>
  <si>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</si>
  <si>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</si>
  <si>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</si>
  <si>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</si>
  <si>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</si>
  <si>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</si>
  <si>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</si>
  <si>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</si>
  <si>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</si>
  <si>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</si>
  <si>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</si>
  <si>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</si>
  <si>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</si>
  <si>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</si>
  <si>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</si>
  <si>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</si>
  <si>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</si>
  <si>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</si>
  <si>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</si>
  <si>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</si>
  <si>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</si>
  <si>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</si>
  <si>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</si>
  <si>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</si>
  <si>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</si>
  <si>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</si>
  <si>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</si>
  <si>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</si>
  <si>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</si>
  <si>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</si>
  <si>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</si>
  <si>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</si>
  <si>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</si>
  <si>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</si>
  <si>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</si>
  <si>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</si>
  <si>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</si>
  <si>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</si>
  <si>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</si>
  <si>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</si>
  <si>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</si>
  <si>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</si>
  <si>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</si>
  <si>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</si>
  <si>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</si>
  <si>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</si>
  <si>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</si>
  <si>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</si>
  <si>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</si>
  <si>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</si>
  <si>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</si>
  <si>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</si>
  <si>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</si>
  <si>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</si>
  <si>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</si>
  <si>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</si>
  <si>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</si>
  <si>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</si>
  <si>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</si>
  <si>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</si>
  <si>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</si>
  <si>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</si>
  <si>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</si>
  <si>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</si>
  <si>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</si>
  <si>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</si>
  <si>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</si>
  <si>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</si>
  <si>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</si>
  <si>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</si>
  <si>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</si>
  <si>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</si>
  <si>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</si>
  <si>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</si>
  <si>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</si>
  <si>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</si>
  <si>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</si>
  <si>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</si>
  <si>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</si>
  <si>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</si>
  <si>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</si>
  <si>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</si>
  <si>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</si>
  <si>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</si>
  <si>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</si>
  <si>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</si>
  <si>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</si>
  <si>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</si>
  <si>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</si>
  <si>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</si>
  <si>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</si>
  <si>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</si>
  <si>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</si>
  <si>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</si>
  <si>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</si>
  <si>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</si>
  <si>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</si>
  <si>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</si>
  <si>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</si>
  <si>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</si>
  <si>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</si>
  <si>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</si>
  <si>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</si>
  <si>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</si>
  <si>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</si>
  <si>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</si>
  <si>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</si>
  <si>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</si>
  <si>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</si>
  <si>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</si>
  <si>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</si>
  <si>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</si>
  <si>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</si>
  <si>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</si>
  <si>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</si>
  <si>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</si>
  <si>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</si>
  <si>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</si>
  <si>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</si>
  <si>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</si>
  <si>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</si>
  <si>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</si>
  <si>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</si>
  <si>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</si>
  <si>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</si>
  <si>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</si>
  <si>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</si>
  <si>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</si>
  <si>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</si>
  <si>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</si>
  <si>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</si>
  <si>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</si>
  <si>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</si>
  <si>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</si>
  <si>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</si>
  <si>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</si>
  <si>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</si>
  <si>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</si>
  <si>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</si>
  <si>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</si>
  <si>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</si>
  <si>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</si>
  <si>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</si>
  <si>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</si>
  <si>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</si>
  <si>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</si>
  <si>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</si>
  <si>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</si>
  <si>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</si>
  <si>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</si>
  <si>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</si>
  <si>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</si>
  <si>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</si>
  <si>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</si>
  <si>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</si>
  <si>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</si>
  <si>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</si>
  <si>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</si>
  <si>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</si>
  <si>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</si>
  <si>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</si>
  <si>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</si>
  <si>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</si>
  <si>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</si>
  <si>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</si>
  <si>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</si>
  <si>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</si>
  <si>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</si>
  <si>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</si>
  <si>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</si>
  <si>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</si>
  <si>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</si>
  <si>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</si>
  <si>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</si>
  <si>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</si>
  <si>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</si>
  <si>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</si>
  <si>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</si>
  <si>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</si>
  <si>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</si>
  <si>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</si>
  <si>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</si>
  <si>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</si>
  <si>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</si>
  <si>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</si>
  <si>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</si>
  <si>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</si>
  <si>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</si>
  <si>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</si>
  <si>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</si>
  <si>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</si>
  <si>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</si>
  <si>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</si>
  <si>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</si>
  <si>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</si>
  <si>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</si>
  <si>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</si>
  <si>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</si>
  <si>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</si>
  <si>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</si>
  <si>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</si>
  <si>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</si>
  <si>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</si>
  <si>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</si>
  <si>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</si>
  <si>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</si>
  <si>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</si>
  <si>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</si>
  <si>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</si>
  <si>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</si>
  <si>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</si>
  <si>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</si>
  <si>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</si>
  <si>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</si>
  <si>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</si>
  <si>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</si>
  <si>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</si>
  <si>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</si>
  <si>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</si>
  <si>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</si>
  <si>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</si>
  <si>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</si>
  <si>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</si>
  <si>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</si>
  <si>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</si>
  <si>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</si>
  <si>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</si>
  <si>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</si>
  <si>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</si>
  <si>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</si>
  <si>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</si>
  <si>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</si>
  <si>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</si>
  <si>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</si>
  <si>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</si>
  <si>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</si>
  <si>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</si>
  <si>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</si>
  <si>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</si>
  <si>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</si>
  <si>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</si>
  <si>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</si>
  <si>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</si>
  <si>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</si>
  <si>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</si>
  <si>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</si>
  <si>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</si>
  <si>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</si>
  <si>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vosla GmbH</t>
  </si>
  <si>
    <t xml:space="preserve">DUNS-Nr: 34-240-6538 </t>
  </si>
  <si>
    <t>Q-Dept.</t>
  </si>
  <si>
    <t>L.-F.- Schoenherrstr. 15, 08523 Plauen, Germany</t>
  </si>
  <si>
    <t>Hartmut LUDWIG ( Mr. )</t>
  </si>
  <si>
    <t>hartmut.ludwig@vosla.com</t>
  </si>
  <si>
    <t>+49 3741 396 337</t>
  </si>
  <si>
    <t>Carsten RIEDEL ( Mr. )</t>
  </si>
  <si>
    <t>Managing Director</t>
  </si>
  <si>
    <t>carsten.riedel@vosla.com</t>
  </si>
  <si>
    <t>+49 3741 396 391</t>
  </si>
  <si>
    <t>See tab "Smelter List"</t>
  </si>
  <si>
    <t>See tab "Smelter List", India only regions  Chhattisgarh, Jammu and Kashmir are listed on CAHRAs List</t>
  </si>
  <si>
    <t>100%</t>
  </si>
  <si>
    <t>Acc. to RMI-list</t>
  </si>
  <si>
    <t>https://www.vosla.com/downloads/</t>
  </si>
  <si>
    <t>Process "U3-Quality" with link to process "U4 Pruchasing"</t>
  </si>
  <si>
    <t>General Terms &amp; Conditions of vosla GmbH</t>
  </si>
  <si>
    <t>CMRT-Report on www.vosla.com</t>
  </si>
  <si>
    <t>Global Tungsten &amp; Powders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</si>
</sst>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artmut.ludwig@vosl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vosla.com/download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818</v>
      </c>
      <c r="C2" s="3"/>
      <c r="D2" s="175"/>
      <c r="E2" s="3"/>
      <c r="F2" s="3"/>
      <c r="G2" s="25"/>
    </row>
    <row r="3" spans="1:7">
      <c r="A3" s="295"/>
      <c r="B3" s="3" t="s">
        <v>811</v>
      </c>
      <c r="C3" s="5"/>
      <c r="D3" s="176"/>
      <c r="E3" s="3"/>
      <c r="F3" s="5"/>
      <c r="G3" s="25"/>
    </row>
    <row r="4" spans="1:7" ht="15.75">
      <c r="A4" s="295"/>
      <c r="B4" s="30" t="s">
        <v>820</v>
      </c>
      <c r="C4" s="6"/>
      <c r="D4" s="177"/>
      <c r="E4" s="3"/>
      <c r="F4" s="6"/>
      <c r="G4" s="25"/>
    </row>
    <row r="5" spans="1:7">
      <c r="A5" s="295"/>
      <c r="B5" s="29" t="s">
        <v>1009</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821</v>
      </c>
      <c r="C9" s="298"/>
      <c r="D9" s="298"/>
      <c r="E9" s="298"/>
      <c r="F9" s="298"/>
      <c r="G9" s="25"/>
    </row>
    <row r="10" spans="1:7" ht="27" customHeight="1">
      <c r="A10" s="295"/>
      <c r="B10" s="299" t="s">
        <v>425</v>
      </c>
      <c r="C10" s="299"/>
      <c r="D10" s="299"/>
      <c r="E10" s="299"/>
      <c r="F10" s="299"/>
      <c r="G10" s="25"/>
    </row>
    <row r="11" spans="1:7" ht="27" customHeight="1">
      <c r="A11" s="295"/>
      <c r="B11" s="300"/>
      <c r="C11" s="300"/>
      <c r="D11" s="300"/>
      <c r="E11" s="300"/>
      <c r="F11" s="300"/>
      <c r="G11" s="25"/>
    </row>
    <row r="12" spans="1:7">
      <c r="A12" s="295"/>
      <c r="B12" s="31" t="s">
        <v>819</v>
      </c>
      <c r="C12" s="32" t="s">
        <v>822</v>
      </c>
      <c r="D12" s="179" t="s">
        <v>823</v>
      </c>
      <c r="E12" s="32" t="s">
        <v>595</v>
      </c>
      <c r="F12" s="32" t="s">
        <v>596</v>
      </c>
      <c r="G12" s="25"/>
    </row>
    <row r="13" spans="1:7" ht="33.75">
      <c r="A13" s="295"/>
      <c r="B13" s="2">
        <v>1</v>
      </c>
      <c r="C13" s="27" t="s">
        <v>1057</v>
      </c>
      <c r="D13" s="28" t="s">
        <v>847</v>
      </c>
      <c r="E13" s="163" t="s">
        <v>824</v>
      </c>
      <c r="F13" s="163"/>
      <c r="G13" s="25"/>
    </row>
    <row r="14" spans="1:7" ht="33.75">
      <c r="A14" s="295"/>
      <c r="B14" s="2">
        <v>2</v>
      </c>
      <c r="C14" s="27" t="s">
        <v>1057</v>
      </c>
      <c r="D14" s="28" t="s">
        <v>994</v>
      </c>
      <c r="E14" s="163" t="s">
        <v>515</v>
      </c>
      <c r="F14" s="163" t="s">
        <v>516</v>
      </c>
      <c r="G14" s="25"/>
    </row>
    <row r="15" spans="1:7" ht="89.1" customHeight="1">
      <c r="A15" s="295"/>
      <c r="B15" s="301">
        <v>2.0099999999999998</v>
      </c>
      <c r="C15" s="292" t="s">
        <v>1057</v>
      </c>
      <c r="D15" s="304" t="s">
        <v>2198</v>
      </c>
      <c r="E15" s="164" t="s">
        <v>597</v>
      </c>
      <c r="F15" s="164" t="s">
        <v>600</v>
      </c>
      <c r="G15" s="25"/>
    </row>
    <row r="16" spans="1:7" ht="99" customHeight="1">
      <c r="A16" s="295"/>
      <c r="B16" s="302"/>
      <c r="C16" s="293"/>
      <c r="D16" s="305"/>
      <c r="E16" s="165"/>
      <c r="F16" s="165" t="s">
        <v>598</v>
      </c>
      <c r="G16" s="25"/>
    </row>
    <row r="17" spans="1:7" ht="63" customHeight="1">
      <c r="A17" s="295"/>
      <c r="B17" s="303"/>
      <c r="C17" s="294"/>
      <c r="D17" s="306"/>
      <c r="E17" s="27"/>
      <c r="F17" s="27" t="s">
        <v>599</v>
      </c>
      <c r="G17" s="25"/>
    </row>
    <row r="18" spans="1:7" ht="117" customHeight="1">
      <c r="A18" s="295"/>
      <c r="B18" s="301">
        <v>2.02</v>
      </c>
      <c r="C18" s="292" t="s">
        <v>1057</v>
      </c>
      <c r="D18" s="304" t="s">
        <v>2199</v>
      </c>
      <c r="E18" s="164" t="s">
        <v>426</v>
      </c>
      <c r="F18" s="164" t="s">
        <v>510</v>
      </c>
      <c r="G18" s="25"/>
    </row>
    <row r="19" spans="1:7" ht="71.099999999999994" customHeight="1">
      <c r="A19" s="295"/>
      <c r="B19" s="302"/>
      <c r="C19" s="293"/>
      <c r="D19" s="305"/>
      <c r="E19" s="165" t="s">
        <v>514</v>
      </c>
      <c r="F19" s="165" t="s">
        <v>427</v>
      </c>
      <c r="G19" s="25"/>
    </row>
    <row r="20" spans="1:7" ht="90.75" customHeight="1">
      <c r="A20" s="295"/>
      <c r="B20" s="302"/>
      <c r="C20" s="293"/>
      <c r="D20" s="305"/>
      <c r="E20" s="165"/>
      <c r="F20" s="165" t="s">
        <v>602</v>
      </c>
      <c r="G20" s="25"/>
    </row>
    <row r="21" spans="1:7" ht="74.25" customHeight="1">
      <c r="A21" s="295"/>
      <c r="B21" s="303"/>
      <c r="C21" s="294"/>
      <c r="D21" s="306"/>
      <c r="E21" s="27"/>
      <c r="F21" s="27" t="s">
        <v>601</v>
      </c>
      <c r="G21" s="25"/>
    </row>
    <row r="22" spans="1:7" ht="90" customHeight="1">
      <c r="A22" s="295"/>
      <c r="B22" s="310">
        <v>2.0299999999999998</v>
      </c>
      <c r="C22" s="310" t="s">
        <v>794</v>
      </c>
      <c r="D22" s="313" t="s">
        <v>2200</v>
      </c>
      <c r="E22" s="292" t="s">
        <v>424</v>
      </c>
      <c r="F22" s="164" t="s">
        <v>447</v>
      </c>
      <c r="G22" s="25"/>
    </row>
    <row r="23" spans="1:7" ht="109.5" customHeight="1">
      <c r="A23" s="295"/>
      <c r="B23" s="311"/>
      <c r="C23" s="311"/>
      <c r="D23" s="314"/>
      <c r="E23" s="293"/>
      <c r="F23" s="165" t="s">
        <v>795</v>
      </c>
      <c r="G23" s="25"/>
    </row>
    <row r="24" spans="1:7" ht="74.25" customHeight="1">
      <c r="A24" s="295"/>
      <c r="B24" s="312"/>
      <c r="C24" s="312"/>
      <c r="D24" s="315"/>
      <c r="E24" s="294"/>
      <c r="F24" s="27" t="s">
        <v>423</v>
      </c>
      <c r="G24" s="25"/>
    </row>
    <row r="25" spans="1:7" ht="72" customHeight="1">
      <c r="A25" s="295"/>
      <c r="B25" s="2" t="s">
        <v>445</v>
      </c>
      <c r="C25" s="27" t="s">
        <v>446</v>
      </c>
      <c r="D25" s="28" t="s">
        <v>2201</v>
      </c>
      <c r="E25" s="27" t="s">
        <v>2196</v>
      </c>
      <c r="F25" s="27" t="s">
        <v>448</v>
      </c>
      <c r="G25" s="25"/>
    </row>
    <row r="26" spans="1:7" ht="98.1" customHeight="1">
      <c r="A26" s="295"/>
      <c r="B26" s="307">
        <v>3</v>
      </c>
      <c r="C26" s="301" t="s">
        <v>66</v>
      </c>
      <c r="D26" s="304" t="s">
        <v>2202</v>
      </c>
      <c r="E26" s="292" t="s">
        <v>0</v>
      </c>
      <c r="F26" s="164" t="s">
        <v>60</v>
      </c>
      <c r="G26" s="25"/>
    </row>
    <row r="27" spans="1:7" ht="90" customHeight="1">
      <c r="A27" s="295"/>
      <c r="B27" s="308"/>
      <c r="C27" s="302"/>
      <c r="D27" s="305"/>
      <c r="E27" s="293"/>
      <c r="F27" s="165" t="s">
        <v>55</v>
      </c>
      <c r="G27" s="25"/>
    </row>
    <row r="28" spans="1:7" ht="19.350000000000001" customHeight="1">
      <c r="A28" s="295"/>
      <c r="B28" s="308"/>
      <c r="C28" s="302"/>
      <c r="D28" s="305"/>
      <c r="E28" s="293"/>
      <c r="F28" s="165" t="s">
        <v>56</v>
      </c>
      <c r="G28" s="25"/>
    </row>
    <row r="29" spans="1:7" ht="74.45" customHeight="1">
      <c r="A29" s="295"/>
      <c r="B29" s="308"/>
      <c r="C29" s="302"/>
      <c r="D29" s="305"/>
      <c r="E29" s="293"/>
      <c r="F29" s="165" t="s">
        <v>57</v>
      </c>
      <c r="G29" s="25"/>
    </row>
    <row r="30" spans="1:7" ht="62.45" customHeight="1">
      <c r="A30" s="295"/>
      <c r="B30" s="308"/>
      <c r="C30" s="302"/>
      <c r="D30" s="305"/>
      <c r="E30" s="293"/>
      <c r="F30" s="165" t="s">
        <v>58</v>
      </c>
      <c r="G30" s="25"/>
    </row>
    <row r="31" spans="1:7" ht="81" customHeight="1">
      <c r="A31" s="295"/>
      <c r="B31" s="308"/>
      <c r="C31" s="302"/>
      <c r="D31" s="305"/>
      <c r="E31" s="293"/>
      <c r="F31" s="165" t="s">
        <v>59</v>
      </c>
      <c r="G31" s="25"/>
    </row>
    <row r="32" spans="1:7" ht="48.75" customHeight="1">
      <c r="A32" s="295"/>
      <c r="B32" s="308"/>
      <c r="C32" s="302"/>
      <c r="D32" s="305"/>
      <c r="E32" s="293"/>
      <c r="F32" s="165" t="s">
        <v>62</v>
      </c>
      <c r="G32" s="25"/>
    </row>
    <row r="33" spans="1:7" ht="98.45" customHeight="1">
      <c r="A33" s="295"/>
      <c r="B33" s="308"/>
      <c r="C33" s="302"/>
      <c r="D33" s="305"/>
      <c r="E33" s="293"/>
      <c r="F33" s="165" t="s">
        <v>61</v>
      </c>
      <c r="G33" s="25"/>
    </row>
    <row r="34" spans="1:7" ht="89.1" customHeight="1">
      <c r="A34" s="295"/>
      <c r="B34" s="308"/>
      <c r="C34" s="302"/>
      <c r="D34" s="305"/>
      <c r="E34" s="293"/>
      <c r="F34" s="165" t="s">
        <v>63</v>
      </c>
      <c r="G34" s="25"/>
    </row>
    <row r="35" spans="1:7" ht="29.1" customHeight="1">
      <c r="A35" s="295"/>
      <c r="B35" s="308"/>
      <c r="C35" s="302"/>
      <c r="D35" s="305"/>
      <c r="E35" s="293"/>
      <c r="F35" s="165" t="s">
        <v>64</v>
      </c>
      <c r="G35" s="25"/>
    </row>
    <row r="36" spans="1:7" ht="126.75">
      <c r="A36" s="295"/>
      <c r="B36" s="309"/>
      <c r="C36" s="303"/>
      <c r="D36" s="306"/>
      <c r="E36" s="294"/>
      <c r="F36" s="166" t="s">
        <v>65</v>
      </c>
      <c r="G36" s="25"/>
    </row>
    <row r="37" spans="1:7" ht="112.5">
      <c r="A37" s="295"/>
      <c r="B37" s="141">
        <v>3.01</v>
      </c>
      <c r="C37" s="142" t="s">
        <v>66</v>
      </c>
      <c r="D37" s="28" t="s">
        <v>2203</v>
      </c>
      <c r="E37" s="167" t="s">
        <v>1294</v>
      </c>
      <c r="F37" s="168" t="s">
        <v>1396</v>
      </c>
      <c r="G37" s="25"/>
    </row>
    <row r="38" spans="1:7" ht="101.25">
      <c r="A38" s="295"/>
      <c r="B38" s="141">
        <v>3.02</v>
      </c>
      <c r="C38" s="142" t="s">
        <v>1326</v>
      </c>
      <c r="D38" s="28" t="s">
        <v>2204</v>
      </c>
      <c r="E38" s="167" t="s">
        <v>1341</v>
      </c>
      <c r="F38" s="168" t="s">
        <v>1397</v>
      </c>
      <c r="G38" s="25"/>
    </row>
    <row r="39" spans="1:7" ht="101.25">
      <c r="A39" s="295"/>
      <c r="B39" s="150">
        <v>4</v>
      </c>
      <c r="C39" s="149" t="s">
        <v>1492</v>
      </c>
      <c r="D39" s="28" t="s">
        <v>2205</v>
      </c>
      <c r="E39" s="27" t="s">
        <v>2151</v>
      </c>
      <c r="F39" s="27" t="s">
        <v>1493</v>
      </c>
      <c r="G39" s="25"/>
    </row>
    <row r="40" spans="1:7" ht="56.25">
      <c r="A40" s="295"/>
      <c r="B40" s="141">
        <v>4.01</v>
      </c>
      <c r="C40" s="149" t="s">
        <v>1492</v>
      </c>
      <c r="D40" s="28" t="s">
        <v>2207</v>
      </c>
      <c r="E40" s="27" t="s">
        <v>2163</v>
      </c>
      <c r="F40" s="27" t="s">
        <v>2167</v>
      </c>
      <c r="G40" s="25"/>
    </row>
    <row r="41" spans="1:7" ht="56.25">
      <c r="A41" s="295"/>
      <c r="B41" s="141" t="s">
        <v>2194</v>
      </c>
      <c r="C41" s="149" t="s">
        <v>1492</v>
      </c>
      <c r="D41" s="28" t="s">
        <v>2206</v>
      </c>
      <c r="E41" s="27" t="s">
        <v>2197</v>
      </c>
      <c r="F41" s="27" t="s">
        <v>2195</v>
      </c>
      <c r="G41" s="25"/>
    </row>
    <row r="42" spans="1:7" ht="56.25">
      <c r="A42" s="295"/>
      <c r="B42" s="141" t="s">
        <v>2228</v>
      </c>
      <c r="C42" s="149" t="s">
        <v>1492</v>
      </c>
      <c r="D42" s="28" t="s">
        <v>2233</v>
      </c>
      <c r="E42" s="27" t="s">
        <v>2196</v>
      </c>
      <c r="F42" s="27" t="s">
        <v>2229</v>
      </c>
      <c r="G42" s="25"/>
    </row>
    <row r="43" spans="1:7" ht="123.75">
      <c r="A43" s="295"/>
      <c r="B43" s="160">
        <v>4.0999999999999996</v>
      </c>
      <c r="C43" s="149" t="s">
        <v>2232</v>
      </c>
      <c r="D43" s="161">
        <v>42867</v>
      </c>
      <c r="E43" s="169" t="s">
        <v>2235</v>
      </c>
      <c r="F43" s="27" t="s">
        <v>2234</v>
      </c>
      <c r="G43" s="25"/>
    </row>
    <row r="44" spans="1:7" ht="78.75">
      <c r="A44" s="295"/>
      <c r="B44" s="160">
        <v>4.2</v>
      </c>
      <c r="C44" s="149" t="s">
        <v>2232</v>
      </c>
      <c r="D44" s="161">
        <v>42704</v>
      </c>
      <c r="E44" s="169" t="s">
        <v>2431</v>
      </c>
      <c r="F44" s="27" t="s">
        <v>2406</v>
      </c>
      <c r="G44" s="25"/>
    </row>
    <row r="45" spans="1:7" ht="157.5">
      <c r="A45" s="295"/>
      <c r="B45" s="202">
        <v>5</v>
      </c>
      <c r="C45" s="149" t="s">
        <v>2232</v>
      </c>
      <c r="D45" s="161">
        <v>42867</v>
      </c>
      <c r="E45" s="169" t="s">
        <v>12652</v>
      </c>
      <c r="F45" s="27" t="s">
        <v>12374</v>
      </c>
      <c r="G45" s="25"/>
    </row>
    <row r="46" spans="1:7" ht="45">
      <c r="A46" s="295"/>
      <c r="B46" s="160">
        <v>5.01</v>
      </c>
      <c r="C46" s="149" t="s">
        <v>2232</v>
      </c>
      <c r="D46" s="161">
        <v>42907</v>
      </c>
      <c r="E46" s="169" t="s">
        <v>15329</v>
      </c>
      <c r="F46" s="27" t="s">
        <v>12374</v>
      </c>
      <c r="G46" s="25"/>
    </row>
    <row r="47" spans="1:7" ht="67.5">
      <c r="A47" s="295"/>
      <c r="B47" s="160">
        <v>5.0999999999999996</v>
      </c>
      <c r="C47" s="149" t="s">
        <v>2232</v>
      </c>
      <c r="D47" s="161">
        <v>43070</v>
      </c>
      <c r="E47" s="169" t="s">
        <v>12862</v>
      </c>
      <c r="F47" s="27" t="s">
        <v>12863</v>
      </c>
      <c r="G47" s="25"/>
    </row>
    <row r="48" spans="1:7" ht="56.25">
      <c r="A48" s="295"/>
      <c r="B48" s="160">
        <v>5.1100000000000003</v>
      </c>
      <c r="C48" s="149" t="s">
        <v>13097</v>
      </c>
      <c r="D48" s="161">
        <v>43217</v>
      </c>
      <c r="E48" s="169" t="s">
        <v>13199</v>
      </c>
      <c r="F48" s="27" t="s">
        <v>13124</v>
      </c>
      <c r="G48" s="25"/>
    </row>
    <row r="49" spans="1:7" ht="56.25">
      <c r="A49" s="295"/>
      <c r="B49" s="160">
        <v>5.12</v>
      </c>
      <c r="C49" s="149" t="s">
        <v>13097</v>
      </c>
      <c r="D49" s="161">
        <v>43581</v>
      </c>
      <c r="E49" s="169" t="s">
        <v>13199</v>
      </c>
      <c r="F49" s="27" t="s">
        <v>13741</v>
      </c>
      <c r="G49" s="25"/>
    </row>
    <row r="50" spans="1:7" ht="78.75">
      <c r="A50" s="295"/>
      <c r="B50" s="202">
        <v>6</v>
      </c>
      <c r="C50" s="149" t="s">
        <v>13097</v>
      </c>
      <c r="D50" s="161">
        <v>43964</v>
      </c>
      <c r="E50" s="169" t="s">
        <v>13953</v>
      </c>
      <c r="F50" s="27" t="s">
        <v>13744</v>
      </c>
      <c r="G50" s="25"/>
    </row>
    <row r="51" spans="1:7" ht="45">
      <c r="A51" s="295"/>
      <c r="B51" s="160">
        <v>6.01</v>
      </c>
      <c r="C51" s="149" t="s">
        <v>13097</v>
      </c>
      <c r="D51" s="161">
        <v>43970</v>
      </c>
      <c r="E51" s="169" t="s">
        <v>15330</v>
      </c>
      <c r="F51" s="169" t="s">
        <v>13744</v>
      </c>
      <c r="G51" s="25"/>
    </row>
    <row r="52" spans="1:7" ht="45">
      <c r="A52" s="295"/>
      <c r="B52" s="160">
        <v>6.1</v>
      </c>
      <c r="C52" s="149" t="s">
        <v>13097</v>
      </c>
      <c r="D52" s="161">
        <v>44314</v>
      </c>
      <c r="E52" s="169" t="s">
        <v>15323</v>
      </c>
      <c r="F52" s="169" t="s">
        <v>14913</v>
      </c>
      <c r="G52" s="25"/>
    </row>
    <row r="53" spans="1:7" ht="45">
      <c r="A53" s="295"/>
      <c r="B53" s="160">
        <v>6.2</v>
      </c>
      <c r="C53" s="149" t="s">
        <v>13097</v>
      </c>
      <c r="D53" s="161">
        <v>44678</v>
      </c>
      <c r="E53" s="169" t="s">
        <v>15323</v>
      </c>
      <c r="F53" s="169" t="s">
        <v>15322</v>
      </c>
      <c r="G53" s="25"/>
    </row>
    <row r="54" spans="1:7" ht="45">
      <c r="A54" s="295"/>
      <c r="B54" s="160">
        <v>6.21</v>
      </c>
      <c r="C54" s="149" t="s">
        <v>13097</v>
      </c>
      <c r="D54" s="161">
        <v>44687</v>
      </c>
      <c r="E54" s="169" t="s">
        <v>15331</v>
      </c>
      <c r="F54" s="169" t="s">
        <v>15322</v>
      </c>
      <c r="G54" s="25"/>
    </row>
    <row r="55" spans="1:7" ht="45">
      <c r="A55" s="295"/>
      <c r="B55" s="160">
        <v>6.22</v>
      </c>
      <c r="C55" s="149" t="s">
        <v>13097</v>
      </c>
      <c r="D55" s="274">
        <v>44692</v>
      </c>
      <c r="E55" s="169" t="s">
        <v>15330</v>
      </c>
      <c r="F55" s="169" t="s">
        <v>15322</v>
      </c>
      <c r="G55" s="25"/>
    </row>
    <row r="56" spans="1:7" ht="56.25">
      <c r="A56" s="295"/>
      <c r="B56" s="202">
        <v>6.3</v>
      </c>
      <c r="C56" s="149" t="s">
        <v>13097</v>
      </c>
      <c r="D56" s="274">
        <v>45051</v>
      </c>
      <c r="E56" s="169" t="s">
        <v>15590</v>
      </c>
      <c r="F56" s="169" t="s">
        <v>15371</v>
      </c>
      <c r="G56" s="25"/>
    </row>
    <row r="57" spans="1:7" ht="45">
      <c r="A57" s="295"/>
      <c r="B57" s="160">
        <v>6.31</v>
      </c>
      <c r="C57" s="149" t="s">
        <v>13097</v>
      </c>
      <c r="D57" s="274">
        <v>45072</v>
      </c>
      <c r="E57" s="169" t="s">
        <v>15592</v>
      </c>
      <c r="F57" s="169" t="s">
        <v>15371</v>
      </c>
      <c r="G57" s="25"/>
    </row>
    <row r="58" spans="1:7" ht="40.5" customHeight="1">
      <c r="A58" s="295"/>
      <c r="B58" s="202">
        <v>6.4</v>
      </c>
      <c r="C58" s="149" t="s">
        <v>13097</v>
      </c>
      <c r="D58" s="274">
        <v>45408</v>
      </c>
      <c r="E58" s="169" t="s">
        <v>15594</v>
      </c>
      <c r="F58" s="169" t="s">
        <v>15593</v>
      </c>
      <c r="G58" s="25"/>
    </row>
    <row r="59" spans="1:7" ht="32.450000000000003" customHeight="1">
      <c r="A59" s="295"/>
      <c r="B59" s="202">
        <v>6.5</v>
      </c>
      <c r="C59" s="149" t="s">
        <v>13097</v>
      </c>
      <c r="D59" s="274">
        <v>45772</v>
      </c>
      <c r="E59" s="169" t="s">
        <v>15669</v>
      </c>
      <c r="F59" s="169" t="s">
        <v>15720</v>
      </c>
      <c r="G59" s="25"/>
    </row>
    <row r="60" spans="1:7" ht="13.5" thickBot="1">
      <c r="A60" s="296"/>
      <c r="B60" s="297" t="str">
        <f ca="1">OFFSET(L!$C$1,MATCH("General"&amp;"Cpy",L!$A:$A,0)-1,SL,,)</f>
        <v>© 2025 Responsible Minerals Initiative. All rights reserved.</v>
      </c>
      <c r="C60" s="297"/>
      <c r="D60" s="297"/>
      <c r="E60" s="297"/>
      <c r="F60" s="29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E31AE36-FFAA-4938-9350-868E26041E5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E010745-1466-4C6C-A1F2-E1178B3D26A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Posten</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Zinn, Tantal, Wolfram, Gold</v>
      </c>
      <c r="D3" s="320"/>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0"/>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0"/>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0"/>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0"/>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0"/>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0"/>
      <c r="E9" s="100" t="s">
        <v>1279</v>
      </c>
    </row>
    <row r="10" spans="1:5" ht="45">
      <c r="A10" s="74"/>
      <c r="B10" s="63" t="str">
        <f ca="1">OFFSET(L!$C$1,MATCH("Definitions"&amp;ADDRESS(ROW(),COLUMN(),4),L!$A:$A,0)-1,SL,,)</f>
        <v>DRK</v>
      </c>
      <c r="C10" s="63" t="str">
        <f ca="1">OFFSET(L!$C$1,MATCH("Definitions"&amp;ADDRESS(ROW(),COLUMN(),4),L!$A:$A,0)-1,SL,,)</f>
        <v>Demokratische Republik Kongo</v>
      </c>
      <c r="D10" s="320"/>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0"/>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0"/>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0"/>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0"/>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0"/>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0"/>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0"/>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0"/>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0"/>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0"/>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0"/>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0"/>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0"/>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0"/>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0"/>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5" zoomScale="70" zoomScaleNormal="70" zoomScalePageLayoutView="70" workbookViewId="0">
      <selection activeCell="D39" sqref="D39:E3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69"/>
      <c r="G3" s="369"/>
      <c r="H3" s="369"/>
      <c r="I3" s="152"/>
      <c r="J3" s="138" t="s">
        <v>15733</v>
      </c>
      <c r="K3" s="36"/>
      <c r="L3" s="100"/>
      <c r="P3" s="45">
        <f>MATCH($D$3,LN,0)</f>
        <v>7</v>
      </c>
    </row>
    <row r="4" spans="1:34" ht="15.75">
      <c r="A4" s="34"/>
      <c r="B4" s="365" t="str">
        <f ca="1">OFFSET(L!$C$1,MATCH("Declaration"&amp;ADDRESS(ROW(),COLUMN(),4),L!$A:$A,0)-1,SL,,)</f>
        <v>Der Zweck dieses Dokuments ist die Erfassung von Beschaffungsinformationen für Zinn, Tantal, Wolfram und Gold, welche in Produkten genutzt werden.</v>
      </c>
      <c r="C4" s="365"/>
      <c r="D4" s="365"/>
      <c r="E4" s="365"/>
      <c r="F4" s="365"/>
      <c r="G4" s="365"/>
      <c r="H4" s="365"/>
      <c r="I4" s="370" t="str">
        <f ca="1">OFFSET(L!$C$1,MATCH("Declaration"&amp;ADDRESS(ROW(),COLUMN(),4),L!$A:$A,0)-1,SL,,)</f>
        <v>Link zu den Bedingungen</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Pflichtfelder sind mit einem Sternchen (*) gekennzeichnet.  Im Tab „Instruktionen“ finden Sie eine Anleitung zur Beantwortung aller Fragen.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Firmenangaben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Beschreibung des Geltungsbereichs</v>
      </c>
      <c r="C10" s="122"/>
      <c r="D10" s="366" t="s">
        <v>15817</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9" t="s">
        <v>15818</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9" t="s">
        <v>15819</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9" t="s">
        <v>15820</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9" t="s">
        <v>15821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7" t="s">
        <v>15822</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9" t="s">
        <v>15823</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2" t="s">
        <v>15824</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9" t="s">
        <v>15825</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7" t="s">
        <v>15826</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0" t="s">
        <v>15827</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3">
        <v>45839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Beantworten Sie die Fragen 1 - 8 entsprechend dem oben angegebenen Geltungsbereich</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2" t="str">
        <f ca="1">OFFSET(L!$C$1,MATCH("Declaration"&amp;ADDRESS(ROW(),COLUMN(),4),L!$A:$A,0)-1,SL,,)</f>
        <v>Antwort</v>
      </c>
      <c r="E25" s="332"/>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5" t="s">
        <v>476</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476</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Wolfram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4" t="str">
        <f ca="1">D25</f>
        <v>Antwort</v>
      </c>
      <c r="E31" s="334"/>
      <c r="F31" s="18"/>
      <c r="G31" s="44" t="str">
        <f ca="1">G25</f>
        <v>Kommentare</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Wolfram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4" t="str">
        <f ca="1">D25</f>
        <v>Antwort</v>
      </c>
      <c r="E37" s="334"/>
      <c r="F37" s="18"/>
      <c r="G37" s="44" t="str">
        <f ca="1">G25</f>
        <v>Kommentare</v>
      </c>
      <c r="H37" s="348"/>
      <c r="I37" s="348"/>
      <c r="J37" s="348"/>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5" t="s">
        <v>477</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Wolfram  (*)</v>
      </c>
      <c r="C41" s="10"/>
      <c r="D41" s="325" t="s">
        <v>476</v>
      </c>
      <c r="E41" s="326"/>
      <c r="F41" s="47"/>
      <c r="G41" s="327" t="s">
        <v>15828</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4" t="str">
        <f ca="1">D25</f>
        <v>Antwort</v>
      </c>
      <c r="E43" s="334"/>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5" t="s">
        <v>477</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Wolfram  (*)</v>
      </c>
      <c r="C47" s="10"/>
      <c r="D47" s="325" t="s">
        <v>476</v>
      </c>
      <c r="E47" s="326"/>
      <c r="F47" s="47"/>
      <c r="G47" s="327" t="s">
        <v>15829</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4" t="str">
        <f ca="1">D25</f>
        <v>Antwort</v>
      </c>
      <c r="E49" s="334"/>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5" t="s">
        <v>477</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Wolfram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Wie hoch ist der Prozentsatz an Lieferanten, die auf Ihre Lieferkettenumfrage geantwortet haben? (*)</v>
      </c>
      <c r="C55" s="10"/>
      <c r="D55" s="334" t="str">
        <f ca="1">D25</f>
        <v>Antwort</v>
      </c>
      <c r="E55" s="334"/>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6" t="s">
        <v>2433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Wolfram  (*)</v>
      </c>
      <c r="C59" s="35"/>
      <c r="D59" s="346" t="s">
        <v>15830</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Haben Sie alle Schmelzhütten ermittelt, die das 3TG-Mineral für Ihre Lieferkette bereitstellen?  (*)</v>
      </c>
      <c r="C61" s="10"/>
      <c r="D61" s="334" t="str">
        <f ca="1">D25</f>
        <v>Antwort</v>
      </c>
      <c r="E61" s="334"/>
      <c r="F61" s="18"/>
      <c r="G61" s="44" t="str">
        <f ca="1">G25</f>
        <v>Kommentare</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5" t="s">
        <v>475</v>
      </c>
      <c r="E63" s="326"/>
      <c r="F63" s="47"/>
      <c r="G63" s="327" t="s">
        <v>15831</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Wolfram  (*)</v>
      </c>
      <c r="C65" s="10"/>
      <c r="D65" s="325" t="s">
        <v>475</v>
      </c>
      <c r="E65" s="326"/>
      <c r="F65" s="47"/>
      <c r="G65" s="327" t="s">
        <v>15831</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4" t="str">
        <f ca="1">D25</f>
        <v>Antwort</v>
      </c>
      <c r="E67" s="334"/>
      <c r="F67" s="18"/>
      <c r="G67" s="44" t="str">
        <f ca="1">G25</f>
        <v>Kommentare</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Wolfram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Beantworten Sie folgende Fragen auf Firmenebene</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2" t="str">
        <f ca="1">D25</f>
        <v>Antwort</v>
      </c>
      <c r="E74" s="332"/>
      <c r="F74" s="53"/>
      <c r="G74" s="332" t="str">
        <f ca="1">G25</f>
        <v>Kommentare</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5" t="s">
        <v>475</v>
      </c>
      <c r="E75" s="326"/>
      <c r="F75" s="57"/>
      <c r="G75" s="327" t="s">
        <v>15833</v>
      </c>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5" t="s">
        <v>475</v>
      </c>
      <c r="E77" s="326"/>
      <c r="F77" s="57"/>
      <c r="G77" s="353" t="s">
        <v>15832</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5" t="s">
        <v>475</v>
      </c>
      <c r="E79" s="326"/>
      <c r="F79" s="57"/>
      <c r="G79" s="327" t="s">
        <v>15833</v>
      </c>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5" t="s">
        <v>475</v>
      </c>
      <c r="E81" s="326"/>
      <c r="F81" s="57"/>
      <c r="G81" s="327" t="s">
        <v>15834</v>
      </c>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5" t="s">
        <v>13882</v>
      </c>
      <c r="E89" s="326"/>
      <c r="F89" s="57"/>
      <c r="G89" s="327" t="s">
        <v>15835</v>
      </c>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
      </c>
    </row>
    <row r="101" spans="2:7" ht="15.75" hidden="1">
      <c r="B101" s="236" t="s">
        <v>2433</v>
      </c>
      <c r="D101" s="281" t="str">
        <f>IF(AND(OR($D$27="Yes",$D$27=""),OR($D$33="Yes",$D$33="")),"Unknown","")</f>
        <v>Unknown</v>
      </c>
      <c r="E101" s="281" t="str">
        <f>IF(AND(OR($D$26="Yes",$D$26=""),OR($D$32="Yes",$D$32="")),"None","")</f>
        <v/>
      </c>
      <c r="G101" s="281" t="str">
        <f>IF(OR($D$28="Yes",$D$28=""),"No","")</f>
        <v/>
      </c>
    </row>
    <row r="102" spans="2:7" ht="15.75" hidden="1">
      <c r="B102" s="236" t="s">
        <v>2434</v>
      </c>
      <c r="D102" s="281" t="str">
        <f>IF(AND(OR($D$28="Yes",$D$28=""),OR($D$34="Yes",$D$34="")),"Yes","")</f>
        <v/>
      </c>
      <c r="E102" s="281" t="str">
        <f>IF(AND(OR($D$27="Yes",$D$27=""),OR($D$33="Yes",$D$33="")),"100%","")</f>
        <v>100%</v>
      </c>
      <c r="G102" s="281" t="str">
        <f>IF(OR($D$29="Yes",$D$29=""),"Yes","")</f>
        <v>Yes</v>
      </c>
    </row>
    <row r="103" spans="2:7" ht="15.75" hidden="1">
      <c r="B103" s="236" t="s">
        <v>2435</v>
      </c>
      <c r="D103" s="281" t="str">
        <f>IF(AND(OR($D$28="Yes",$D$28=""),OR($D$34="Yes",$D$34="")),"No","")</f>
        <v/>
      </c>
      <c r="E103" s="281" t="str">
        <f>IF(AND(OR($D$27="Yes",$D$27=""),OR($D$33="Yes",$D$33="")),"Greater than 90%","")</f>
        <v>Greater than 90%</v>
      </c>
      <c r="G103" s="281" t="str">
        <f>IF(OR($D$29="Yes",$D$29=""),"No","")</f>
        <v>No</v>
      </c>
    </row>
    <row r="104" spans="2:7" ht="15.75" hidden="1">
      <c r="B104" s="236" t="s">
        <v>478</v>
      </c>
      <c r="D104" s="281" t="str">
        <f>IF(AND(OR($D$28="Yes",$D$28=""),OR($D$34="Yes",$D$34="")),"Unknown","")</f>
        <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
      </c>
    </row>
    <row r="109" spans="2:7" ht="15.75" hidden="1">
      <c r="B109" s="236" t="s">
        <v>13882</v>
      </c>
      <c r="E109" s="281" t="str">
        <f>IF(AND(OR($D$28="Yes",$D$28=""),OR($D$34="Yes",$D$34="")),"Greater than 90%","")</f>
        <v/>
      </c>
    </row>
    <row r="110" spans="2:7" ht="15.75" hidden="1">
      <c r="B110" s="236" t="s">
        <v>13883</v>
      </c>
      <c r="E110" s="281" t="str">
        <f>IF(AND(OR($D$28="Yes",$D$28=""),OR($D$34="Yes",$D$34="")),"Greater than 75%","")</f>
        <v/>
      </c>
    </row>
    <row r="111" spans="2:7" ht="15.75" hidden="1">
      <c r="B111" s="236" t="s">
        <v>476</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6" priority="159" stopIfTrue="1">
      <formula>IF($D$22="",TRUE)</formula>
    </cfRule>
  </conditionalFormatting>
  <conditionalFormatting sqref="D26:E26">
    <cfRule type="expression" dxfId="75" priority="137" stopIfTrue="1">
      <formula>IF($D$26="",TRUE)</formula>
    </cfRule>
  </conditionalFormatting>
  <conditionalFormatting sqref="D27:E27">
    <cfRule type="expression" dxfId="74" priority="144" stopIfTrue="1">
      <formula>IF($D$27="",TRUE)</formula>
    </cfRule>
  </conditionalFormatting>
  <conditionalFormatting sqref="D28:E28">
    <cfRule type="expression" dxfId="73" priority="145" stopIfTrue="1">
      <formula>IF($D$28="",TRUE)</formula>
    </cfRule>
  </conditionalFormatting>
  <conditionalFormatting sqref="D29:E29">
    <cfRule type="expression" dxfId="72" priority="146" stopIfTrue="1">
      <formula>IF($D$29="",TRUE)</formula>
    </cfRule>
  </conditionalFormatting>
  <conditionalFormatting sqref="D32:E32">
    <cfRule type="expression" dxfId="71" priority="55" stopIfTrue="1">
      <formula>IF(AND(OR($D$26="Yes",$D$26=""),$D$32=""),1,0)</formula>
    </cfRule>
    <cfRule type="expression" dxfId="70" priority="142" stopIfTrue="1">
      <formula>$P$26=""</formula>
    </cfRule>
  </conditionalFormatting>
  <conditionalFormatting sqref="D33:E33">
    <cfRule type="expression" dxfId="69" priority="43" stopIfTrue="1">
      <formula>$P$27=""</formula>
    </cfRule>
    <cfRule type="expression" dxfId="68" priority="42" stopIfTrue="1">
      <formula>IF(AND(OR($D$27="Yes",$D$27=""),$D$33=""),1,0)</formula>
    </cfRule>
  </conditionalFormatting>
  <conditionalFormatting sqref="D34:E34">
    <cfRule type="expression" dxfId="67" priority="1" stopIfTrue="1">
      <formula>IF(AND(OR($D$28="Yes",$D$28=""),$D$34=""),1,0)</formula>
    </cfRule>
    <cfRule type="expression" dxfId="66" priority="2" stopIfTrue="1">
      <formula>$P$28=""</formula>
    </cfRule>
  </conditionalFormatting>
  <conditionalFormatting sqref="D35:E35">
    <cfRule type="expression" dxfId="65" priority="39" stopIfTrue="1">
      <formula>IF(AND(OR($D$29="Yes",$D$29=""),$D$35=""),1,0)</formula>
    </cfRule>
    <cfRule type="expression" dxfId="64" priority="163" stopIfTrue="1">
      <formula>$P$29=""</formula>
    </cfRule>
  </conditionalFormatting>
  <conditionalFormatting sqref="D38:E38 D44:E44 D50:E50 D56:E56 D62:E62 D68:E68">
    <cfRule type="expression" dxfId="63" priority="18" stopIfTrue="1">
      <formula>$P$26=""</formula>
    </cfRule>
    <cfRule type="expression" dxfId="62" priority="19" stopIfTrue="1">
      <formula>$P$32=""</formula>
    </cfRule>
  </conditionalFormatting>
  <conditionalFormatting sqref="D38:E38">
    <cfRule type="expression" dxfId="61" priority="54" stopIfTrue="1">
      <formula>IF(AND(OR($D$26="Yes",$D$26=""),OR($D$32="Yes",$D$32=""),D38=""),1,0)</formula>
    </cfRule>
  </conditionalFormatting>
  <conditionalFormatting sqref="D39:E39 D45:E45 D51:E51 D57:E57 D63:E63 D69:E69">
    <cfRule type="expression" dxfId="60" priority="12" stopIfTrue="1">
      <formula>$P$33=""</formula>
    </cfRule>
    <cfRule type="expression" dxfId="59" priority="13" stopIfTrue="1">
      <formula>$P$39=""</formula>
    </cfRule>
  </conditionalFormatting>
  <conditionalFormatting sqref="D39:E39">
    <cfRule type="expression" dxfId="58" priority="50" stopIfTrue="1">
      <formula>IF(AND(OR($D$27="Yes",$D$27=""),OR($D$33="Yes",$D$33=""),D39=""),1,0)</formula>
    </cfRule>
  </conditionalFormatting>
  <conditionalFormatting sqref="D40:E40 D46:E46 D52:E52 D58:E58 D64:E64 D70:E70">
    <cfRule type="expression" dxfId="57" priority="7" stopIfTrue="1">
      <formula>$P$28=""</formula>
    </cfRule>
    <cfRule type="expression" dxfId="56" priority="8" stopIfTrue="1">
      <formula>$P$34=""</formula>
    </cfRule>
  </conditionalFormatting>
  <conditionalFormatting sqref="D40:E40">
    <cfRule type="expression" dxfId="55" priority="49" stopIfTrue="1">
      <formula>IF(AND(OR($D$28="Yes",$D$28=""),OR($D$34="Yes",$D$34=""),D40=""),1,0)</formula>
    </cfRule>
  </conditionalFormatting>
  <conditionalFormatting sqref="D41:E41 D47:E47 D53:E53 D59:E59 D65:E65 D71:E71">
    <cfRule type="expression" dxfId="54" priority="3" stopIfTrue="1">
      <formula>$P$29=""</formula>
    </cfRule>
    <cfRule type="expression" dxfId="53" priority="4" stopIfTrue="1">
      <formula>$P$35=""</formula>
    </cfRule>
  </conditionalFormatting>
  <conditionalFormatting sqref="D41:E41">
    <cfRule type="expression" dxfId="52" priority="165" stopIfTrue="1">
      <formula>IF(AND(OR($D$29="Yes",$D$29=""),OR($D$35="Yes",$D$35=""),D41=""),1,0)</formula>
    </cfRule>
  </conditionalFormatting>
  <conditionalFormatting sqref="D44:E44">
    <cfRule type="expression" dxfId="51" priority="53" stopIfTrue="1">
      <formula>IF(AND(OR($D$26="Yes",$D$26=""),OR($D$32="Yes",$D$32=""),D44=""),1,0)</formula>
    </cfRule>
  </conditionalFormatting>
  <conditionalFormatting sqref="D45:E45">
    <cfRule type="expression" dxfId="50" priority="15" stopIfTrue="1">
      <formula>IF(AND(OR($D$27="Yes",$D$27=""),OR($D$33="Yes",$D$33=""),D45=""),1,0)</formula>
    </cfRule>
  </conditionalFormatting>
  <conditionalFormatting sqref="D46:E46">
    <cfRule type="expression" dxfId="49" priority="40" stopIfTrue="1">
      <formula>IF(AND(OR($D$28="Yes",$D$28=""),OR($D$34="Yes",$D$34=""),D46=""),1,0)</formula>
    </cfRule>
  </conditionalFormatting>
  <conditionalFormatting sqref="D47:E47">
    <cfRule type="expression" dxfId="48" priority="48" stopIfTrue="1">
      <formula>IF(AND(OR($D$29="Yes",$D$29=""),OR($D$35="Yes",$D$35=""),D47=""),1,0)</formula>
    </cfRule>
  </conditionalFormatting>
  <conditionalFormatting sqref="D50:E50">
    <cfRule type="expression" dxfId="47" priority="21" stopIfTrue="1">
      <formula>IF(AND(OR($D$26="Yes",$D$26=""),OR($D$32="Yes",$D$32=""),D50=""),1,0)</formula>
    </cfRule>
  </conditionalFormatting>
  <conditionalFormatting sqref="D51:E51">
    <cfRule type="expression" dxfId="46" priority="160" stopIfTrue="1">
      <formula>IF(AND(OR($D$27="Yes",$D$27=""),OR($D$33="Yes",$D$33=""),D51=""),1,0)</formula>
    </cfRule>
  </conditionalFormatting>
  <conditionalFormatting sqref="D52:E52">
    <cfRule type="expression" dxfId="45" priority="11" stopIfTrue="1">
      <formula>IF(AND(OR($D$28="Yes",$D$28=""),OR($D$34="Yes",$D$34=""),D52=""),1,0)</formula>
    </cfRule>
  </conditionalFormatting>
  <conditionalFormatting sqref="D53:E53">
    <cfRule type="expression" dxfId="44" priority="34" stopIfTrue="1">
      <formula>IF(AND(OR($D$29="Yes",$D$29=""),OR($D$35="Yes",$D$35=""),D53=""),1,0)</formula>
    </cfRule>
  </conditionalFormatting>
  <conditionalFormatting sqref="D56:E56">
    <cfRule type="expression" dxfId="43" priority="29" stopIfTrue="1">
      <formula>IF(AND(OR($D$26="Yes",$D$26=""),OR($D$32="Yes",$D$32=""),D56=""),1,0)</formula>
    </cfRule>
  </conditionalFormatting>
  <conditionalFormatting sqref="D57:E57">
    <cfRule type="expression" dxfId="42" priority="17" stopIfTrue="1">
      <formula>IF(AND(OR($D$27="Yes",$D$27=""),OR($D$33="Yes",$D$33=""),D57=""),1,0)</formula>
    </cfRule>
  </conditionalFormatting>
  <conditionalFormatting sqref="D58:E58">
    <cfRule type="expression" dxfId="41" priority="10" stopIfTrue="1">
      <formula>IF(AND(OR($D$28="Yes",$D$28=""),OR($D$34="Yes",$D$34=""),D58=""),1,0)</formula>
    </cfRule>
  </conditionalFormatting>
  <conditionalFormatting sqref="D59:E59">
    <cfRule type="expression" dxfId="40" priority="6" stopIfTrue="1">
      <formula>IF(AND(OR($D$29="Yes",$D$29=""),OR($D$35="Yes",$D$35=""),D59=""),1,0)</formula>
    </cfRule>
  </conditionalFormatting>
  <conditionalFormatting sqref="D62:E62">
    <cfRule type="expression" dxfId="39" priority="28" stopIfTrue="1">
      <formula>IF(AND(OR($D$26="Yes",$D$26=""),OR($D$32="Yes",$D$32=""),D62=""),1,0)</formula>
    </cfRule>
  </conditionalFormatting>
  <conditionalFormatting sqref="D63:E63">
    <cfRule type="expression" dxfId="38" priority="14" stopIfTrue="1">
      <formula>IF(AND(OR($D$27="Yes",$D$27=""),OR($D$33="Yes",$D$33=""),D63=""),1,0)</formula>
    </cfRule>
  </conditionalFormatting>
  <conditionalFormatting sqref="D64:E64">
    <cfRule type="expression" dxfId="37" priority="9" stopIfTrue="1">
      <formula>IF(AND(OR($D$28="Yes",$D$28=""),OR($D$34="Yes",$D$34=""),D64=""),1,0)</formula>
    </cfRule>
  </conditionalFormatting>
  <conditionalFormatting sqref="D65:E65">
    <cfRule type="expression" dxfId="36" priority="5" stopIfTrue="1">
      <formula>IF(AND(OR($D$29="Yes",$D$29=""),OR($D$35="Yes",$D$35=""),D65=""),1,0)</formula>
    </cfRule>
  </conditionalFormatting>
  <conditionalFormatting sqref="D68:E68">
    <cfRule type="expression" dxfId="35" priority="20" stopIfTrue="1">
      <formula>IF(AND(OR($D$26="Yes",$D$26=""),OR($D$32="Yes",$D$32=""),D68=""),1,0)</formula>
    </cfRule>
  </conditionalFormatting>
  <conditionalFormatting sqref="D69:E69">
    <cfRule type="expression" dxfId="34" priority="16" stopIfTrue="1">
      <formula>IF(AND(OR($D$27="Yes",$D$27=""),OR($D$33="Yes",$D$33=""),D69=""),1,0)</formula>
    </cfRule>
  </conditionalFormatting>
  <conditionalFormatting sqref="D70:E70">
    <cfRule type="expression" dxfId="33" priority="162" stopIfTrue="1">
      <formula>IF(AND(OR($D$28="Yes",$D$28=""),OR($D$34="Yes",$D$34=""),D70=""),1,0)</formula>
    </cfRule>
  </conditionalFormatting>
  <conditionalFormatting sqref="D71:E71">
    <cfRule type="expression" dxfId="32" priority="164" stopIfTrue="1">
      <formula>IF(AND(OR($D$29="Yes",$D$29=""),OR($D$35="Yes",$D$35=""),D71=""),1,0)</formula>
    </cfRule>
  </conditionalFormatting>
  <conditionalFormatting sqref="D75:E75 D77:E77 D79:E79 D81:E81 D83 D85:E85 D87:E87 D89:E89">
    <cfRule type="expression" dxfId="31" priority="85" stopIfTrue="1">
      <formula>AND(OR($D$26="No",AND($D$26="Yes",$D$32="No")),OR($D$27="No",AND($D$27="Yes",$D$33="No")),OR($D$28="No",AND($D$28="Yes",$D$34="No")),OR($D$29="No",AND($D$29="Yes",$D$35="No")))</formula>
    </cfRule>
    <cfRule type="expression" dxfId="30" priority="86" stopIfTrue="1">
      <formula>IF(D75="",TRUE)</formula>
    </cfRule>
  </conditionalFormatting>
  <conditionalFormatting sqref="D9:G9">
    <cfRule type="expression" dxfId="29" priority="152" stopIfTrue="1">
      <formula>IF($D$9="",TRUE)</formula>
    </cfRule>
  </conditionalFormatting>
  <conditionalFormatting sqref="D8:J8">
    <cfRule type="expression" dxfId="28" priority="151" stopIfTrue="1">
      <formula>IF($D$8="",TRUE)</formula>
    </cfRule>
  </conditionalFormatting>
  <conditionalFormatting sqref="D10:J10">
    <cfRule type="expression" dxfId="27" priority="166" stopIfTrue="1">
      <formula>IF(AND($D$10="",$D$9=$R$9),TRUE)</formula>
    </cfRule>
    <cfRule type="expression" dxfId="26" priority="56" stopIfTrue="1">
      <formula>IF($D$9=$Q$9,TRUE)</formula>
    </cfRule>
  </conditionalFormatting>
  <conditionalFormatting sqref="D15:J15">
    <cfRule type="expression" dxfId="25" priority="153" stopIfTrue="1">
      <formula>IF($D$15="",TRUE)</formula>
    </cfRule>
  </conditionalFormatting>
  <conditionalFormatting sqref="D16:J16">
    <cfRule type="expression" dxfId="24" priority="154" stopIfTrue="1">
      <formula>IF($D$16="",TRUE)</formula>
    </cfRule>
  </conditionalFormatting>
  <conditionalFormatting sqref="D17:J17">
    <cfRule type="expression" dxfId="23" priority="22" stopIfTrue="1">
      <formula>IF($D$17="",TRUE)</formula>
    </cfRule>
  </conditionalFormatting>
  <conditionalFormatting sqref="D18:J18">
    <cfRule type="expression" dxfId="22" priority="156" stopIfTrue="1">
      <formula>IF($D$18="",TRUE)</formula>
    </cfRule>
  </conditionalFormatting>
  <conditionalFormatting sqref="D20:J20">
    <cfRule type="expression" dxfId="21" priority="35" stopIfTrue="1">
      <formula>IF($D$20="",TRUE)</formula>
    </cfRule>
  </conditionalFormatting>
  <conditionalFormatting sqref="G77:J77">
    <cfRule type="expression" dxfId="20" priority="57" stopIfTrue="1">
      <formula>IF(AND($D$77="Yes",$G$77=""),TRUE)</formula>
    </cfRule>
  </conditionalFormatting>
  <conditionalFormatting sqref="G85:J85">
    <cfRule type="expression" dxfId="19"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5D68C82-D1C8-4D7C-859C-17B23EE68623}"/>
    <hyperlink ref="G77" r:id="rId4" xr:uid="{C207587F-E10C-4D92-8648-8229D22BF21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3" sqref="C1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6" t="str">
        <f ca="1">OFFSET(L!$C$1,MATCH("Smelter List"&amp;ADDRESS(ROW(),COLUMN(),4),L!$A:$A,0)-1,SL,,)</f>
        <v>Link zur "RMAP Conformant Smelter"- Liste</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181" t="s">
        <v>771</v>
      </c>
      <c r="B5" s="182" t="s">
        <v>1101</v>
      </c>
      <c r="C5" s="186" t="s">
        <v>15836</v>
      </c>
      <c r="D5" s="230"/>
      <c r="E5" s="182" t="s">
        <v>2384</v>
      </c>
      <c r="F5" s="182" t="s">
        <v>771</v>
      </c>
      <c r="G5" s="182" t="s">
        <v>13177</v>
      </c>
      <c r="H5" s="183">
        <v>0</v>
      </c>
      <c r="I5" s="184" t="s">
        <v>1783</v>
      </c>
      <c r="J5" s="184" t="s">
        <v>1699</v>
      </c>
      <c r="K5" s="224"/>
      <c r="L5" s="224"/>
      <c r="M5" s="224"/>
      <c r="N5" s="224"/>
      <c r="O5" s="224"/>
      <c r="P5" s="185"/>
      <c r="Q5" s="225"/>
      <c r="R5" s="182" t="str">
        <f ca="1">IF(ISERROR($V5),"",OFFSET('Smelter Look-up'!$C$4,$V5-4,0)&amp;"")</f>
        <v/>
      </c>
      <c r="S5" s="181" t="e">
        <f ca="1">IF(#REF!="","",IF(ISERROR(MATCH(#REF!,CL,0)),"Unknown",INDIRECT("'C'!$A$"&amp;MATCH(#REF!,CL,0)+1)))</f>
        <v>#REF!</v>
      </c>
      <c r="T5" s="181" t="e">
        <f ca="1">IF(#REF!="","",IF(ISERROR(MATCH(#REF!,SorP!$B$1:$B$6226,0)),"",INDIRECT("'SorP'!$A$"&amp;MATCH($S5&amp;#REF!,SorP!C:C,0))))</f>
        <v>#REF!</v>
      </c>
      <c r="U5" s="201"/>
      <c r="V5" s="226" t="e">
        <f>IF(#REF!="",NA(),IF(OR(#REF!="Smelter not listed",#REF!="Smelter not yet identified"),MATCH(#REF!&amp;#REF!,'Smelter Look-up'!$J:$J,0),MATCH(#REF!&amp;#REF!,'Smelter Look-up'!$J:$J,0)))</f>
        <v>#REF!</v>
      </c>
      <c r="X5" s="227" t="e">
        <f>IF(AND(#REF!="Smelter not listed",OR(LEN(#REF!)=0,LEN(#REF!)=0)),1,0)</f>
        <v>#REF!</v>
      </c>
      <c r="AB5" s="228" t="e">
        <f>#REF!&amp;#REF!</f>
        <v>#REF!</v>
      </c>
    </row>
    <row r="6" spans="1:34" s="227" customFormat="1" ht="20.100000000000001" customHeight="1">
      <c r="A6" s="181" t="s">
        <v>1390</v>
      </c>
      <c r="B6" s="182" t="s">
        <v>1101</v>
      </c>
      <c r="C6" s="186" t="s">
        <v>2487</v>
      </c>
      <c r="D6" s="230"/>
      <c r="E6" s="182" t="s">
        <v>1070</v>
      </c>
      <c r="F6" s="182" t="s">
        <v>1390</v>
      </c>
      <c r="G6" s="182" t="s">
        <v>13177</v>
      </c>
      <c r="H6" s="183">
        <v>0</v>
      </c>
      <c r="I6" s="184" t="s">
        <v>1709</v>
      </c>
      <c r="J6" s="184" t="s">
        <v>4197</v>
      </c>
      <c r="K6" s="224"/>
      <c r="L6" s="224"/>
      <c r="M6" s="224"/>
      <c r="N6" s="224"/>
      <c r="O6" s="224"/>
      <c r="P6" s="185"/>
      <c r="Q6" s="225"/>
      <c r="R6" s="182" t="str">
        <f ca="1">IF(ISERROR($V6),"",OFFSET('Smelter Look-up'!$C$4,$V6-4,0)&amp;"")</f>
        <v/>
      </c>
      <c r="S6" s="181" t="e">
        <f ca="1">IF(#REF!="","",IF(ISERROR(MATCH(#REF!,CL,0)),"Unknown",INDIRECT("'C'!$A$"&amp;MATCH(#REF!,CL,0)+1)))</f>
        <v>#REF!</v>
      </c>
      <c r="T6" s="181" t="e">
        <f ca="1">IF(#REF!="","",IF(ISERROR(MATCH(#REF!,SorP!$B$1:$B$6226,0)),"",INDIRECT("'SorP'!$A$"&amp;MATCH($S6&amp;#REF!,SorP!C:C,0))))</f>
        <v>#REF!</v>
      </c>
      <c r="U6" s="201"/>
      <c r="V6" s="226" t="e">
        <f>IF(#REF!="",NA(),IF(OR(#REF!="Smelter not listed",#REF!="Smelter not yet identified"),MATCH(#REF!&amp;#REF!,'Smelter Look-up'!$J:$J,0),MATCH(#REF!&amp;#REF!,'Smelter Look-up'!$J:$J,0)))</f>
        <v>#REF!</v>
      </c>
      <c r="X6" s="227" t="e">
        <f>IF(AND(#REF!="Smelter not listed",OR(LEN(#REF!)=0,LEN(#REF!)=0)),1,0)</f>
        <v>#REF!</v>
      </c>
      <c r="AB6" s="228" t="e">
        <f>#REF!&amp;#REF!</f>
        <v>#REF!</v>
      </c>
    </row>
    <row r="7" spans="1:34" s="227" customFormat="1" ht="20.100000000000001" customHeight="1">
      <c r="A7" s="181" t="s">
        <v>1394</v>
      </c>
      <c r="B7" s="182" t="s">
        <v>1101</v>
      </c>
      <c r="C7" s="186" t="s">
        <v>14973</v>
      </c>
      <c r="D7" s="230"/>
      <c r="E7" s="182" t="s">
        <v>863</v>
      </c>
      <c r="F7" s="182" t="s">
        <v>1394</v>
      </c>
      <c r="G7" s="182" t="s">
        <v>13177</v>
      </c>
      <c r="H7" s="183">
        <v>0</v>
      </c>
      <c r="I7" s="184" t="s">
        <v>1794</v>
      </c>
      <c r="J7" s="184" t="s">
        <v>12081</v>
      </c>
      <c r="K7" s="224"/>
      <c r="L7" s="224"/>
      <c r="M7" s="224"/>
      <c r="N7" s="224"/>
      <c r="O7" s="224"/>
      <c r="P7" s="185"/>
      <c r="Q7" s="225"/>
      <c r="R7" s="182" t="str">
        <f ca="1">IF(ISERROR($V7),"",OFFSET('Smelter Look-up'!$C$4,$V7-4,0)&amp;"")</f>
        <v/>
      </c>
      <c r="S7" s="181" t="e">
        <f ca="1">IF(#REF!="","",IF(ISERROR(MATCH(#REF!,CL,0)),"Unknown",INDIRECT("'C'!$A$"&amp;MATCH(#REF!,CL,0)+1)))</f>
        <v>#REF!</v>
      </c>
      <c r="T7" s="181" t="e">
        <f ca="1">IF(#REF!="","",IF(ISERROR(MATCH(#REF!,SorP!$B$1:$B$6226,0)),"",INDIRECT("'SorP'!$A$"&amp;MATCH($S7&amp;#REF!,SorP!C:C,0))))</f>
        <v>#REF!</v>
      </c>
      <c r="U7" s="201"/>
      <c r="V7" s="226" t="e">
        <f>IF(#REF!="",NA(),IF(OR(#REF!="Smelter not listed",#REF!="Smelter not yet identified"),MATCH(#REF!&amp;#REF!,'Smelter Look-up'!$J:$J,0),MATCH(#REF!&amp;#REF!,'Smelter Look-up'!$J:$J,0)))</f>
        <v>#REF!</v>
      </c>
      <c r="X7" s="227" t="e">
        <f>IF(AND(#REF!="Smelter not listed",OR(LEN(#REF!)=0,LEN(#REF!)=0)),1,0)</f>
        <v>#REF!</v>
      </c>
      <c r="AB7" s="228" t="e">
        <f>#REF!&amp;#REF!</f>
        <v>#REF!</v>
      </c>
    </row>
    <row r="8" spans="1:34" s="227" customFormat="1" ht="20.100000000000001" customHeight="1">
      <c r="A8" s="181" t="s">
        <v>776</v>
      </c>
      <c r="B8" s="182" t="s">
        <v>1101</v>
      </c>
      <c r="C8" s="186" t="s">
        <v>1348</v>
      </c>
      <c r="D8" s="230"/>
      <c r="E8" s="182" t="s">
        <v>1069</v>
      </c>
      <c r="F8" s="182" t="s">
        <v>776</v>
      </c>
      <c r="G8" s="182" t="s">
        <v>13177</v>
      </c>
      <c r="H8" s="183">
        <v>0</v>
      </c>
      <c r="I8" s="184" t="s">
        <v>1788</v>
      </c>
      <c r="J8" s="184" t="s">
        <v>13530</v>
      </c>
      <c r="K8" s="224"/>
      <c r="L8" s="224"/>
      <c r="M8" s="224"/>
      <c r="N8" s="224"/>
      <c r="O8" s="224"/>
      <c r="P8" s="185"/>
      <c r="Q8" s="225"/>
      <c r="R8" s="182" t="str">
        <f ca="1">IF(ISERROR($V8),"",OFFSET('Smelter Look-up'!$C$4,$V8-4,0)&amp;"")</f>
        <v/>
      </c>
      <c r="S8" s="181" t="e">
        <f ca="1">IF(#REF!="","",IF(ISERROR(MATCH(#REF!,CL,0)),"Unknown",INDIRECT("'C'!$A$"&amp;MATCH(#REF!,CL,0)+1)))</f>
        <v>#REF!</v>
      </c>
      <c r="T8" s="181" t="e">
        <f ca="1">IF(#REF!="","",IF(ISERROR(MATCH(#REF!,SorP!$B$1:$B$6226,0)),"",INDIRECT("'SorP'!$A$"&amp;MATCH($S8&amp;#REF!,SorP!C:C,0))))</f>
        <v>#REF!</v>
      </c>
      <c r="U8" s="201"/>
      <c r="V8" s="226" t="e">
        <f>IF(#REF!="",NA(),IF(OR(#REF!="Smelter not listed",#REF!="Smelter not yet identified"),MATCH(#REF!&amp;#REF!,'Smelter Look-up'!$J:$J,0),MATCH(#REF!&amp;#REF!,'Smelter Look-up'!$J:$J,0)))</f>
        <v>#REF!</v>
      </c>
      <c r="X8" s="227" t="e">
        <f>IF(AND(#REF!="Smelter not listed",OR(LEN(#REF!)=0,LEN(#REF!)=0)),1,0)</f>
        <v>#REF!</v>
      </c>
      <c r="AB8" s="228" t="e">
        <f>#REF!&amp;#REF!</f>
        <v>#REF!</v>
      </c>
    </row>
    <row r="9" spans="1:34" s="227" customFormat="1" ht="20.100000000000001" customHeight="1">
      <c r="A9" s="181" t="s">
        <v>137</v>
      </c>
      <c r="B9" s="182" t="s">
        <v>1101</v>
      </c>
      <c r="C9" s="186" t="s">
        <v>147</v>
      </c>
      <c r="D9" s="230"/>
      <c r="E9" s="182" t="s">
        <v>1069</v>
      </c>
      <c r="F9" s="182" t="s">
        <v>137</v>
      </c>
      <c r="G9" s="182" t="s">
        <v>13177</v>
      </c>
      <c r="H9" s="183">
        <v>0</v>
      </c>
      <c r="I9" s="184" t="s">
        <v>1788</v>
      </c>
      <c r="J9" s="184" t="s">
        <v>13530</v>
      </c>
      <c r="K9" s="224"/>
      <c r="L9" s="224"/>
      <c r="M9" s="224"/>
      <c r="N9" s="224"/>
      <c r="O9" s="224"/>
      <c r="P9" s="185"/>
      <c r="Q9" s="225"/>
      <c r="R9" s="182" t="str">
        <f ca="1">IF(ISERROR($V9),"",OFFSET('Smelter Look-up'!$C$4,$V9-4,0)&amp;"")</f>
        <v/>
      </c>
      <c r="S9" s="181" t="e">
        <f ca="1">IF(#REF!="","",IF(ISERROR(MATCH(#REF!,CL,0)),"Unknown",INDIRECT("'C'!$A$"&amp;MATCH(#REF!,CL,0)+1)))</f>
        <v>#REF!</v>
      </c>
      <c r="T9" s="181" t="e">
        <f ca="1">IF(#REF!="","",IF(ISERROR(MATCH(#REF!,SorP!$B$1:$B$6226,0)),"",INDIRECT("'SorP'!$A$"&amp;MATCH($S9&amp;#REF!,SorP!C:C,0))))</f>
        <v>#REF!</v>
      </c>
      <c r="U9" s="201"/>
      <c r="V9" s="226" t="e">
        <f>IF(#REF!="",NA(),IF(OR(#REF!="Smelter not listed",#REF!="Smelter not yet identified"),MATCH(#REF!&amp;#REF!,'Smelter Look-up'!$J:$J,0),MATCH(#REF!&amp;#REF!,'Smelter Look-up'!$J:$J,0)))</f>
        <v>#REF!</v>
      </c>
      <c r="X9" s="227" t="e">
        <f>IF(AND(#REF!="Smelter not listed",OR(LEN(#REF!)=0,LEN(#REF!)=0)),1,0)</f>
        <v>#REF!</v>
      </c>
      <c r="AB9" s="228" t="e">
        <f>#REF!&amp;#REF!</f>
        <v>#REF!</v>
      </c>
    </row>
    <row r="10" spans="1:34" s="227" customFormat="1" ht="20.100000000000001" customHeight="1">
      <c r="A10" s="181" t="s">
        <v>770</v>
      </c>
      <c r="B10" s="182" t="s">
        <v>1101</v>
      </c>
      <c r="C10" s="186" t="s">
        <v>1344</v>
      </c>
      <c r="D10" s="230"/>
      <c r="E10" s="182" t="s">
        <v>1069</v>
      </c>
      <c r="F10" s="182" t="s">
        <v>770</v>
      </c>
      <c r="G10" s="182" t="s">
        <v>13177</v>
      </c>
      <c r="H10" s="183">
        <v>0</v>
      </c>
      <c r="I10" s="184" t="s">
        <v>1732</v>
      </c>
      <c r="J10" s="184" t="s">
        <v>13531</v>
      </c>
      <c r="K10" s="224"/>
      <c r="L10" s="224"/>
      <c r="M10" s="224"/>
      <c r="N10" s="224"/>
      <c r="O10" s="224"/>
      <c r="P10" s="185"/>
      <c r="Q10" s="225"/>
      <c r="R10" s="182" t="str">
        <f ca="1">IF(ISERROR($V10),"",OFFSET('Smelter Look-up'!$C$4,$V10-4,0)&amp;"")</f>
        <v/>
      </c>
      <c r="S10" s="181" t="e">
        <f ca="1">IF(#REF!="","",IF(ISERROR(MATCH(#REF!,CL,0)),"Unknown",INDIRECT("'C'!$A$"&amp;MATCH(#REF!,CL,0)+1)))</f>
        <v>#REF!</v>
      </c>
      <c r="T10" s="181" t="e">
        <f ca="1">IF(#REF!="","",IF(ISERROR(MATCH(#REF!,SorP!$B$1:$B$6226,0)),"",INDIRECT("'SorP'!$A$"&amp;MATCH($S10&amp;#REF!,SorP!C:C,0))))</f>
        <v>#REF!</v>
      </c>
      <c r="U10" s="201"/>
      <c r="V10" s="226" t="e">
        <f>IF(#REF!="",NA(),IF(OR(#REF!="Smelter not listed",#REF!="Smelter not yet identified"),MATCH(#REF!&amp;#REF!,'Smelter Look-up'!$J:$J,0),MATCH(#REF!&amp;#REF!,'Smelter Look-up'!$J:$J,0)))</f>
        <v>#REF!</v>
      </c>
      <c r="X10" s="227" t="e">
        <f>IF(AND(#REF!="Smelter not listed",OR(LEN(#REF!)=0,LEN(#REF!)=0)),1,0)</f>
        <v>#REF!</v>
      </c>
      <c r="AB10" s="228" t="e">
        <f>#REF!&amp;#REF!</f>
        <v>#REF!</v>
      </c>
    </row>
    <row r="11" spans="1:34" s="227" customFormat="1" ht="20.100000000000001" customHeight="1">
      <c r="A11" s="181" t="s">
        <v>130</v>
      </c>
      <c r="B11" s="182" t="s">
        <v>1101</v>
      </c>
      <c r="C11" s="186" t="s">
        <v>148</v>
      </c>
      <c r="D11" s="230"/>
      <c r="E11" s="182" t="s">
        <v>1069</v>
      </c>
      <c r="F11" s="182" t="s">
        <v>130</v>
      </c>
      <c r="G11" s="182" t="s">
        <v>13177</v>
      </c>
      <c r="H11" s="183">
        <v>0</v>
      </c>
      <c r="I11" s="184" t="s">
        <v>1792</v>
      </c>
      <c r="J11" s="184" t="s">
        <v>13531</v>
      </c>
      <c r="K11" s="224"/>
      <c r="L11" s="224"/>
      <c r="M11" s="224"/>
      <c r="N11" s="224"/>
      <c r="O11" s="224"/>
      <c r="P11" s="185"/>
      <c r="Q11" s="225"/>
      <c r="R11" s="182" t="str">
        <f ca="1">IF(ISERROR($V11),"",OFFSET('Smelter Look-up'!$C$4,$V11-4,0)&amp;"")</f>
        <v/>
      </c>
      <c r="S11" s="181" t="e">
        <f ca="1">IF(#REF!="","",IF(ISERROR(MATCH(#REF!,CL,0)),"Unknown",INDIRECT("'C'!$A$"&amp;MATCH(#REF!,CL,0)+1)))</f>
        <v>#REF!</v>
      </c>
      <c r="T11" s="181" t="e">
        <f ca="1">IF(#REF!="","",IF(ISERROR(MATCH(#REF!,SorP!$B$1:$B$6226,0)),"",INDIRECT("'SorP'!$A$"&amp;MATCH($S11&amp;#REF!,SorP!C:C,0))))</f>
        <v>#REF!</v>
      </c>
      <c r="U11" s="201"/>
      <c r="V11" s="226" t="e">
        <f>IF(#REF!="",NA(),IF(OR(#REF!="Smelter not listed",#REF!="Smelter not yet identified"),MATCH(#REF!&amp;#REF!,'Smelter Look-up'!$J:$J,0),MATCH(#REF!&amp;#REF!,'Smelter Look-up'!$J:$J,0)))</f>
        <v>#REF!</v>
      </c>
      <c r="X11" s="227" t="e">
        <f>IF(AND(#REF!="Smelter not listed",OR(LEN(#REF!)=0,LEN(#REF!)=0)),1,0)</f>
        <v>#REF!</v>
      </c>
      <c r="AB11" s="228" t="e">
        <f>#REF!&amp;#REF!</f>
        <v>#REF!</v>
      </c>
    </row>
    <row r="12" spans="1:34" s="227" customFormat="1" ht="20.100000000000001" customHeight="1">
      <c r="A12" s="181" t="s">
        <v>1370</v>
      </c>
      <c r="B12" s="182" t="s">
        <v>1101</v>
      </c>
      <c r="C12" s="186" t="s">
        <v>15354</v>
      </c>
      <c r="D12" s="230"/>
      <c r="E12" s="182" t="s">
        <v>1069</v>
      </c>
      <c r="F12" s="182" t="s">
        <v>1370</v>
      </c>
      <c r="G12" s="182" t="s">
        <v>13177</v>
      </c>
      <c r="H12" s="183">
        <v>0</v>
      </c>
      <c r="I12" s="184" t="s">
        <v>1733</v>
      </c>
      <c r="J12" s="184" t="s">
        <v>13535</v>
      </c>
      <c r="K12" s="224"/>
      <c r="L12" s="224"/>
      <c r="M12" s="224"/>
      <c r="N12" s="224"/>
      <c r="O12" s="224"/>
      <c r="P12" s="185"/>
      <c r="Q12" s="225"/>
      <c r="R12" s="182" t="str">
        <f ca="1">IF(ISERROR($V12),"",OFFSET('Smelter Look-up'!$C$4,$V12-4,0)&amp;"")</f>
        <v/>
      </c>
      <c r="S12" s="181" t="e">
        <f ca="1">IF(#REF!="","",IF(ISERROR(MATCH(#REF!,CL,0)),"Unknown",INDIRECT("'C'!$A$"&amp;MATCH(#REF!,CL,0)+1)))</f>
        <v>#REF!</v>
      </c>
      <c r="T12" s="181" t="e">
        <f ca="1">IF(#REF!="","",IF(ISERROR(MATCH(#REF!,SorP!$B$1:$B$6226,0)),"",INDIRECT("'SorP'!$A$"&amp;MATCH($S12&amp;#REF!,SorP!C:C,0))))</f>
        <v>#REF!</v>
      </c>
      <c r="U12" s="201"/>
      <c r="V12" s="226" t="e">
        <f>IF(#REF!="",NA(),IF(OR(#REF!="Smelter not listed",#REF!="Smelter not yet identified"),MATCH(#REF!&amp;#REF!,'Smelter Look-up'!$J:$J,0),MATCH(#REF!&amp;#REF!,'Smelter Look-up'!$J:$J,0)))</f>
        <v>#REF!</v>
      </c>
      <c r="X12" s="227" t="e">
        <f>IF(AND(#REF!="Smelter not listed",OR(LEN(#REF!)=0,LEN(#REF!)=0)),1,0)</f>
        <v>#REF!</v>
      </c>
      <c r="AB12" s="228" t="e">
        <f>#REF!&amp;#REF!</f>
        <v>#REF!</v>
      </c>
    </row>
    <row r="13" spans="1:34" s="227" customFormat="1" ht="20.100000000000001" customHeight="1">
      <c r="A13" s="181" t="s">
        <v>1393</v>
      </c>
      <c r="B13" s="182" t="s">
        <v>1101</v>
      </c>
      <c r="C13" s="186" t="s">
        <v>1392</v>
      </c>
      <c r="D13" s="230"/>
      <c r="E13" s="182" t="s">
        <v>1069</v>
      </c>
      <c r="F13" s="182" t="s">
        <v>1393</v>
      </c>
      <c r="G13" s="182" t="s">
        <v>13177</v>
      </c>
      <c r="H13" s="183">
        <v>0</v>
      </c>
      <c r="I13" s="184" t="s">
        <v>1732</v>
      </c>
      <c r="J13" s="184" t="s">
        <v>13531</v>
      </c>
      <c r="K13" s="224"/>
      <c r="L13" s="224"/>
      <c r="M13" s="224"/>
      <c r="N13" s="224"/>
      <c r="O13" s="224"/>
      <c r="P13" s="185"/>
      <c r="Q13" s="225"/>
      <c r="R13" s="182" t="str">
        <f ca="1">IF(ISERROR($V13),"",OFFSET('Smelter Look-up'!$C$4,$V13-4,0)&amp;"")</f>
        <v/>
      </c>
      <c r="S13" s="181" t="e">
        <f ca="1">IF(#REF!="","",IF(ISERROR(MATCH(#REF!,CL,0)),"Unknown",INDIRECT("'C'!$A$"&amp;MATCH(#REF!,CL,0)+1)))</f>
        <v>#REF!</v>
      </c>
      <c r="T13" s="181" t="e">
        <f ca="1">IF(#REF!="","",IF(ISERROR(MATCH(#REF!,SorP!$B$1:$B$6226,0)),"",INDIRECT("'SorP'!$A$"&amp;MATCH($S13&amp;#REF!,SorP!C:C,0))))</f>
        <v>#REF!</v>
      </c>
      <c r="U13" s="201"/>
      <c r="V13" s="226" t="e">
        <f>IF(#REF!="",NA(),IF(OR(#REF!="Smelter not listed",#REF!="Smelter not yet identified"),MATCH(#REF!&amp;#REF!,'Smelter Look-up'!$J:$J,0),MATCH(#REF!&amp;#REF!,'Smelter Look-up'!$J:$J,0)))</f>
        <v>#REF!</v>
      </c>
      <c r="X13" s="227" t="e">
        <f>IF(AND(#REF!="Smelter not listed",OR(LEN(#REF!)=0,LEN(#REF!)=0)),1,0)</f>
        <v>#REF!</v>
      </c>
      <c r="AB13" s="228" t="e">
        <f>#REF!&amp;#REF!</f>
        <v>#REF!</v>
      </c>
    </row>
    <row r="14" spans="1:34" s="227" customFormat="1" ht="20.100000000000001" customHeight="1">
      <c r="A14" s="181" t="s">
        <v>133</v>
      </c>
      <c r="B14" s="182" t="s">
        <v>1101</v>
      </c>
      <c r="C14" s="186" t="s">
        <v>143</v>
      </c>
      <c r="D14" s="230"/>
      <c r="E14" s="182" t="s">
        <v>1069</v>
      </c>
      <c r="F14" s="182" t="s">
        <v>133</v>
      </c>
      <c r="G14" s="182" t="s">
        <v>13177</v>
      </c>
      <c r="H14" s="183">
        <v>0</v>
      </c>
      <c r="I14" s="184" t="s">
        <v>1732</v>
      </c>
      <c r="J14" s="184" t="s">
        <v>13531</v>
      </c>
      <c r="K14" s="224"/>
      <c r="L14" s="224"/>
      <c r="M14" s="224"/>
      <c r="N14" s="224"/>
      <c r="O14" s="224"/>
      <c r="P14" s="185"/>
      <c r="Q14" s="225"/>
      <c r="R14" s="182" t="str">
        <f ca="1">IF(ISERROR($V14),"",OFFSET('Smelter Look-up'!$C$4,$V14-4,0)&amp;"")</f>
        <v/>
      </c>
      <c r="S14" s="181" t="e">
        <f ca="1">IF(#REF!="","",IF(ISERROR(MATCH(#REF!,CL,0)),"Unknown",INDIRECT("'C'!$A$"&amp;MATCH(#REF!,CL,0)+1)))</f>
        <v>#REF!</v>
      </c>
      <c r="T14" s="181" t="e">
        <f ca="1">IF(#REF!="","",IF(ISERROR(MATCH(#REF!,SorP!$B$1:$B$6226,0)),"",INDIRECT("'SorP'!$A$"&amp;MATCH($S14&amp;#REF!,SorP!C:C,0))))</f>
        <v>#REF!</v>
      </c>
      <c r="U14" s="201"/>
      <c r="V14" s="226" t="e">
        <f>IF(#REF!="",NA(),IF(OR(#REF!="Smelter not listed",#REF!="Smelter not yet identified"),MATCH(#REF!&amp;#REF!,'Smelter Look-up'!$J:$J,0),MATCH(#REF!&amp;#REF!,'Smelter Look-up'!$J:$J,0)))</f>
        <v>#REF!</v>
      </c>
      <c r="X14" s="227" t="e">
        <f>IF(AND(#REF!="Smelter not listed",OR(LEN(#REF!)=0,LEN(#REF!)=0)),1,0)</f>
        <v>#REF!</v>
      </c>
      <c r="AB14" s="228" t="e">
        <f>#REF!&amp;#REF!</f>
        <v>#REF!</v>
      </c>
    </row>
    <row r="15" spans="1:34" s="227" customFormat="1" ht="20.100000000000001" customHeight="1">
      <c r="A15" s="181" t="s">
        <v>1796</v>
      </c>
      <c r="B15" s="182" t="s">
        <v>1101</v>
      </c>
      <c r="C15" s="186" t="s">
        <v>1795</v>
      </c>
      <c r="D15" s="230"/>
      <c r="E15" s="182" t="s">
        <v>2384</v>
      </c>
      <c r="F15" s="182" t="s">
        <v>1796</v>
      </c>
      <c r="G15" s="182" t="s">
        <v>13177</v>
      </c>
      <c r="H15" s="183">
        <v>0</v>
      </c>
      <c r="I15" s="184" t="s">
        <v>1797</v>
      </c>
      <c r="J15" s="184" t="s">
        <v>1583</v>
      </c>
      <c r="K15" s="224"/>
      <c r="L15" s="224"/>
      <c r="M15" s="224"/>
      <c r="N15" s="224"/>
      <c r="O15" s="224"/>
      <c r="P15" s="185"/>
      <c r="Q15" s="225"/>
      <c r="R15" s="182" t="str">
        <f ca="1">IF(ISERROR($V15),"",OFFSET('Smelter Look-up'!$C$4,$V15-4,0)&amp;"")</f>
        <v/>
      </c>
      <c r="S15" s="181" t="e">
        <f ca="1">IF(#REF!="","",IF(ISERROR(MATCH(#REF!,CL,0)),"Unknown",INDIRECT("'C'!$A$"&amp;MATCH(#REF!,CL,0)+1)))</f>
        <v>#REF!</v>
      </c>
      <c r="T15" s="181" t="e">
        <f ca="1">IF(#REF!="","",IF(ISERROR(MATCH(#REF!,SorP!$B$1:$B$6226,0)),"",INDIRECT("'SorP'!$A$"&amp;MATCH($S15&amp;#REF!,SorP!C:C,0))))</f>
        <v>#REF!</v>
      </c>
      <c r="U15" s="201"/>
      <c r="V15" s="226" t="e">
        <f>IF(#REF!="",NA(),IF(OR(#REF!="Smelter not listed",#REF!="Smelter not yet identified"),MATCH(#REF!&amp;#REF!,'Smelter Look-up'!$J:$J,0),MATCH(#REF!&amp;#REF!,'Smelter Look-up'!$J:$J,0)))</f>
        <v>#REF!</v>
      </c>
      <c r="X15" s="227" t="e">
        <f>IF(AND(#REF!="Smelter not listed",OR(LEN(#REF!)=0,LEN(#REF!)=0)),1,0)</f>
        <v>#REF!</v>
      </c>
      <c r="AB15" s="228" t="e">
        <f>#REF!&amp;#REF!</f>
        <v>#REF!</v>
      </c>
    </row>
    <row r="16" spans="1:34" s="227" customFormat="1" ht="20.100000000000001" customHeight="1">
      <c r="A16" s="181" t="s">
        <v>752</v>
      </c>
      <c r="B16" s="182" t="s">
        <v>1099</v>
      </c>
      <c r="C16" s="186" t="s">
        <v>793</v>
      </c>
      <c r="D16" s="230"/>
      <c r="E16" s="182" t="s">
        <v>1084</v>
      </c>
      <c r="F16" s="182" t="s">
        <v>752</v>
      </c>
      <c r="G16" s="182" t="s">
        <v>13177</v>
      </c>
      <c r="H16" s="183">
        <v>0</v>
      </c>
      <c r="I16" s="184" t="s">
        <v>1739</v>
      </c>
      <c r="J16" s="184" t="s">
        <v>8635</v>
      </c>
      <c r="K16" s="224"/>
      <c r="L16" s="224"/>
      <c r="M16" s="224"/>
      <c r="N16" s="224"/>
      <c r="O16" s="224"/>
      <c r="P16" s="185"/>
      <c r="Q16" s="225"/>
      <c r="R16" s="182" t="str">
        <f ca="1">IF(ISERROR($V16),"",OFFSET('Smelter Look-up'!$C$4,$V16-4,0)&amp;"")</f>
        <v/>
      </c>
      <c r="S16" s="181" t="e">
        <f ca="1">IF(#REF!="","",IF(ISERROR(MATCH(#REF!,CL,0)),"Unknown",INDIRECT("'C'!$A$"&amp;MATCH(#REF!,CL,0)+1)))</f>
        <v>#REF!</v>
      </c>
      <c r="T16" s="181" t="e">
        <f ca="1">IF(#REF!="","",IF(ISERROR(MATCH(#REF!,SorP!$B$1:$B$6226,0)),"",INDIRECT("'SorP'!$A$"&amp;MATCH($S16&amp;#REF!,SorP!C:C,0))))</f>
        <v>#REF!</v>
      </c>
      <c r="U16" s="201"/>
      <c r="V16" s="226" t="e">
        <f>IF(#REF!="",NA(),IF(OR(#REF!="Smelter not listed",#REF!="Smelter not yet identified"),MATCH(#REF!&amp;#REF!,'Smelter Look-up'!$J:$J,0),MATCH(#REF!&amp;#REF!,'Smelter Look-up'!$J:$J,0)))</f>
        <v>#REF!</v>
      </c>
      <c r="X16" s="227" t="e">
        <f>IF(AND(#REF!="Smelter not listed",OR(LEN(#REF!)=0,LEN(#REF!)=0)),1,0)</f>
        <v>#REF!</v>
      </c>
      <c r="AB16" s="228" t="e">
        <f>#REF!&amp;#REF!</f>
        <v>#REF!</v>
      </c>
    </row>
    <row r="17" spans="1:28" s="227" customFormat="1" ht="20.100000000000001" customHeight="1">
      <c r="A17" s="181" t="s">
        <v>744</v>
      </c>
      <c r="B17" s="182" t="s">
        <v>1099</v>
      </c>
      <c r="C17" s="186" t="s">
        <v>1722</v>
      </c>
      <c r="D17" s="230"/>
      <c r="E17" s="182" t="s">
        <v>2384</v>
      </c>
      <c r="F17" s="182" t="s">
        <v>744</v>
      </c>
      <c r="G17" s="182" t="s">
        <v>13177</v>
      </c>
      <c r="H17" s="183">
        <v>0</v>
      </c>
      <c r="I17" s="184" t="s">
        <v>1719</v>
      </c>
      <c r="J17" s="184" t="s">
        <v>1699</v>
      </c>
      <c r="K17" s="224"/>
      <c r="L17" s="224"/>
      <c r="M17" s="224"/>
      <c r="N17" s="224"/>
      <c r="O17" s="224"/>
      <c r="P17" s="185"/>
      <c r="Q17" s="225"/>
      <c r="R17" s="182" t="str">
        <f ca="1">IF(ISERROR($V17),"",OFFSET('Smelter Look-up'!$C$4,$V17-4,0)&amp;"")</f>
        <v/>
      </c>
      <c r="S17" s="181" t="e">
        <f ca="1">IF(#REF!="","",IF(ISERROR(MATCH(#REF!,CL,0)),"Unknown",INDIRECT("'C'!$A$"&amp;MATCH(#REF!,CL,0)+1)))</f>
        <v>#REF!</v>
      </c>
      <c r="T17" s="181" t="e">
        <f ca="1">IF(#REF!="","",IF(ISERROR(MATCH(#REF!,SorP!$B$1:$B$6226,0)),"",INDIRECT("'SorP'!$A$"&amp;MATCH($S17&amp;#REF!,SorP!C:C,0))))</f>
        <v>#REF!</v>
      </c>
      <c r="U17" s="201"/>
      <c r="V17" s="226" t="e">
        <f>IF(#REF!="",NA(),IF(OR(#REF!="Smelter not listed",#REF!="Smelter not yet identified"),MATCH(#REF!&amp;#REF!,'Smelter Look-up'!$J:$J,0),MATCH(#REF!&amp;#REF!,'Smelter Look-up'!$J:$J,0)))</f>
        <v>#REF!</v>
      </c>
      <c r="X17" s="227" t="e">
        <f>IF(AND(#REF!="Smelter not listed",OR(LEN(#REF!)=0,LEN(#REF!)=0)),1,0)</f>
        <v>#REF!</v>
      </c>
      <c r="AB17" s="228" t="e">
        <f>#REF!&amp;#REF!</f>
        <v>#REF!</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ref="S18:S37" ca="1" si="0">IF(B18="","",IF(ISERROR(MATCH($E18,CL,0)),"Unknown",INDIRECT("'C'!$A$"&amp;MATCH($E18,CL,0)+1)))</f>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ref="X18:X37" ca="1" si="1">IF(AND(C18="Smelter not listed",OR(LEN(D18)=0,LEN(E18)=0)),1,0)</f>
        <v>0</v>
      </c>
      <c r="AB18" s="228" t="str">
        <f t="shared" ref="AB18:AB37" si="2">B18&amp;C18</f>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6">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7">IF(AND(C69="Smelter not listed",OR(LEN(D69)=0,LEN(E69)=0)),1,0)</f>
        <v>0</v>
      </c>
      <c r="AB69" s="228" t="str">
        <f t="shared" ref="AB69" si="8">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9">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0">IF(AND(C70="Smelter not listed",OR(LEN(D70)=0,LEN(E70)=0)),1,0)</f>
        <v>0</v>
      </c>
      <c r="AB70" s="228" t="str">
        <f t="shared" ref="AB70:AB101" si="11">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2">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3">IF(AND(C102="Smelter not listed",OR(LEN(D102)=0,LEN(E102)=0)),1,0)</f>
        <v>0</v>
      </c>
      <c r="AB102" s="228" t="str">
        <f t="shared" ref="AB102:AB132" si="14">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2"/>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3"/>
        <v>0</v>
      </c>
      <c r="AB132" s="228" t="str">
        <f t="shared" si="1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5">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6">IF(AND(C133="Smelter not listed",OR(LEN(D133)=0,LEN(E133)=0)),1,0)</f>
        <v>0</v>
      </c>
      <c r="AB133" s="228" t="str">
        <f t="shared" ref="AB133" si="17">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8">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9">IF(AND(C134="Smelter not listed",OR(LEN(D134)=0,LEN(E134)=0)),1,0)</f>
        <v>0</v>
      </c>
      <c r="AB134" s="228" t="str">
        <f t="shared" ref="AB134:AB165" si="20">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1">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2">IF(AND(C166="Smelter not listed",OR(LEN(D166)=0,LEN(E166)=0)),1,0)</f>
        <v>0</v>
      </c>
      <c r="AB166" s="228" t="str">
        <f t="shared" ref="AB166:AB196" si="23">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2"/>
        <v>0</v>
      </c>
      <c r="AB196" s="228" t="str">
        <f t="shared" si="2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4">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5">IF(AND(C197="Smelter not listed",OR(LEN(D197)=0,LEN(E197)=0)),1,0)</f>
        <v>0</v>
      </c>
      <c r="AB197" s="228" t="str">
        <f t="shared" ref="AB197" si="26">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7">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8">IF(AND(C198="Smelter not listed",OR(LEN(D198)=0,LEN(E198)=0)),1,0)</f>
        <v>0</v>
      </c>
      <c r="AB198" s="228" t="str">
        <f t="shared" ref="AB198:AB229" si="29">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0">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1">IF(AND(C230="Smelter not listed",OR(LEN(D230)=0,LEN(E230)=0)),1,0)</f>
        <v>0</v>
      </c>
      <c r="AB230" s="228" t="str">
        <f t="shared" ref="AB230:AB260" si="32">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0"/>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1"/>
        <v>0</v>
      </c>
      <c r="AB260" s="228" t="str">
        <f t="shared" si="3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3">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4">IF(AND(C261="Smelter not listed",OR(LEN(D261)=0,LEN(E261)=0)),1,0)</f>
        <v>0</v>
      </c>
      <c r="AB261" s="228" t="str">
        <f t="shared" ref="AB261" si="35">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6">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7">IF(AND(C262="Smelter not listed",OR(LEN(D262)=0,LEN(E262)=0)),1,0)</f>
        <v>0</v>
      </c>
      <c r="AB262" s="228" t="str">
        <f t="shared" ref="AB262:AB293" si="38">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9">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0">IF(AND(C294="Smelter not listed",OR(LEN(D294)=0,LEN(E294)=0)),1,0)</f>
        <v>0</v>
      </c>
      <c r="AB294" s="228" t="str">
        <f t="shared" ref="AB294:AB324" si="41">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9"/>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0"/>
        <v>0</v>
      </c>
      <c r="AB324" s="228" t="str">
        <f t="shared" si="4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2">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3">IF(AND(C325="Smelter not listed",OR(LEN(D325)=0,LEN(E325)=0)),1,0)</f>
        <v>0</v>
      </c>
      <c r="AB325" s="228" t="str">
        <f t="shared" ref="AB325" si="44">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5">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6">IF(AND(C326="Smelter not listed",OR(LEN(D326)=0,LEN(E326)=0)),1,0)</f>
        <v>0</v>
      </c>
      <c r="AB326" s="228" t="str">
        <f t="shared" ref="AB326:AB357" si="47">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8">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9">IF(AND(C358="Smelter not listed",OR(LEN(D358)=0,LEN(E358)=0)),1,0)</f>
        <v>0</v>
      </c>
      <c r="AB358" s="228" t="str">
        <f t="shared" ref="AB358:AB388" si="50">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2">IF(AND(C389="Smelter not listed",OR(LEN(D389)=0,LEN(E389)=0)),1,0)</f>
        <v>0</v>
      </c>
      <c r="AB389" s="228" t="str">
        <f t="shared" ref="AB389" si="53">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4">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5">IF(AND(C390="Smelter not listed",OR(LEN(D390)=0,LEN(E390)=0)),1,0)</f>
        <v>0</v>
      </c>
      <c r="AB390" s="228" t="str">
        <f t="shared" ref="AB390:AB421" si="56">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7">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8">IF(AND(C422="Smelter not listed",OR(LEN(D422)=0,LEN(E422)=0)),1,0)</f>
        <v>0</v>
      </c>
      <c r="AB422" s="228" t="str">
        <f t="shared" ref="AB422:AB452" si="59">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8"/>
        <v>0</v>
      </c>
      <c r="AB452" s="228" t="str">
        <f t="shared" si="5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0">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1">IF(AND(C453="Smelter not listed",OR(LEN(D453)=0,LEN(E453)=0)),1,0)</f>
        <v>0</v>
      </c>
      <c r="AB453" s="228" t="str">
        <f t="shared" ref="AB453" si="62">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3">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4">IF(AND(C454="Smelter not listed",OR(LEN(D454)=0,LEN(E454)=0)),1,0)</f>
        <v>0</v>
      </c>
      <c r="AB454" s="228" t="str">
        <f t="shared" ref="AB454:AB485" si="65">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6">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7">IF(AND(C486="Smelter not listed",OR(LEN(D486)=0,LEN(E486)=0)),1,0)</f>
        <v>0</v>
      </c>
      <c r="AB486" s="228" t="str">
        <f t="shared" ref="AB486:AB516" si="68">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7"/>
        <v>0</v>
      </c>
      <c r="AB516" s="228" t="str">
        <f t="shared" si="6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9">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0">IF(AND(C517="Smelter not listed",OR(LEN(D517)=0,LEN(E517)=0)),1,0)</f>
        <v>0</v>
      </c>
      <c r="AB517" s="228" t="str">
        <f t="shared" ref="AB517" si="71">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2">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3">IF(AND(C518="Smelter not listed",OR(LEN(D518)=0,LEN(E518)=0)),1,0)</f>
        <v>0</v>
      </c>
      <c r="AB518" s="228" t="str">
        <f t="shared" ref="AB518:AB549" si="74">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5">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6">IF(AND(C550="Smelter not listed",OR(LEN(D550)=0,LEN(E550)=0)),1,0)</f>
        <v>0</v>
      </c>
      <c r="AB550" s="228" t="str">
        <f t="shared" ref="AB550:AB580" si="77">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1">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2">IF(AND(C586="Smelter not listed",OR(LEN(D586)=0,LEN(E586)=0)),1,0)</f>
        <v>0</v>
      </c>
      <c r="AB586" s="228" t="str">
        <f t="shared" ref="AB586" si="83">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4">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5">IF(AND(C587="Smelter not listed",OR(LEN(D587)=0,LEN(E587)=0)),1,0)</f>
        <v>0</v>
      </c>
      <c r="AB587" s="228" t="str">
        <f t="shared" ref="AB587:AB634" si="86">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7">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8">IF(AND(C635="Smelter not listed",OR(LEN(D635)=0,LEN(E635)=0)),1,0)</f>
        <v>0</v>
      </c>
      <c r="AB635" s="228" t="str">
        <f t="shared" ref="AB635" si="89">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1">IF(AND(C636="Smelter not listed",OR(LEN(D636)=0,LEN(E636)=0)),1,0)</f>
        <v>0</v>
      </c>
      <c r="AB636" s="228" t="str">
        <f t="shared" ref="AB636:AB667" si="9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4">IF(AND(C668="Smelter not listed",OR(LEN(D668)=0,LEN(E668)=0)),1,0)</f>
        <v>0</v>
      </c>
      <c r="AB668" s="228" t="str">
        <f t="shared" ref="AB668:AB698" si="9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6">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7">IF(AND(C699="Smelter not listed",OR(LEN(D699)=0,LEN(E699)=0)),1,0)</f>
        <v>0</v>
      </c>
      <c r="AB699" s="228" t="str">
        <f t="shared" ref="AB699" si="98">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9">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0">IF(AND(C700="Smelter not listed",OR(LEN(D700)=0,LEN(E700)=0)),1,0)</f>
        <v>0</v>
      </c>
      <c r="AB700" s="228" t="str">
        <f t="shared" ref="AB700:AB731" si="101">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2">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3">IF(AND(C732="Smelter not listed",OR(LEN(D732)=0,LEN(E732)=0)),1,0)</f>
        <v>0</v>
      </c>
      <c r="AB732" s="228" t="str">
        <f t="shared" ref="AB732:AB762" si="104">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5">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6">IF(AND(C763="Smelter not listed",OR(LEN(D763)=0,LEN(E763)=0)),1,0)</f>
        <v>0</v>
      </c>
      <c r="AB763" s="228" t="str">
        <f t="shared" ref="AB763" si="107">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8">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9">IF(AND(C764="Smelter not listed",OR(LEN(D764)=0,LEN(E764)=0)),1,0)</f>
        <v>0</v>
      </c>
      <c r="AB764" s="228" t="str">
        <f t="shared" ref="AB764:AB795" si="110">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1">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2">IF(AND(C796="Smelter not listed",OR(LEN(D796)=0,LEN(E796)=0)),1,0)</f>
        <v>0</v>
      </c>
      <c r="AB796" s="228" t="str">
        <f t="shared" ref="AB796:AB826" si="113">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4">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5">IF(AND(C827="Smelter not listed",OR(LEN(D827)=0,LEN(E827)=0)),1,0)</f>
        <v>0</v>
      </c>
      <c r="AB827" s="228" t="str">
        <f t="shared" ref="AB827" si="116">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7">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8">IF(AND(C828="Smelter not listed",OR(LEN(D828)=0,LEN(E828)=0)),1,0)</f>
        <v>0</v>
      </c>
      <c r="AB828" s="228" t="str">
        <f t="shared" ref="AB828:AB859" si="119">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0">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1">IF(AND(C860="Smelter not listed",OR(LEN(D860)=0,LEN(E860)=0)),1,0)</f>
        <v>0</v>
      </c>
      <c r="AB860" s="228" t="str">
        <f t="shared" ref="AB860:AB890" si="122">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3">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4">IF(AND(C891="Smelter not listed",OR(LEN(D891)=0,LEN(E891)=0)),1,0)</f>
        <v>0</v>
      </c>
      <c r="AB891" s="228" t="str">
        <f t="shared" ref="AB891" si="125">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6">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7">IF(AND(C892="Smelter not listed",OR(LEN(D892)=0,LEN(E892)=0)),1,0)</f>
        <v>0</v>
      </c>
      <c r="AB892" s="228" t="str">
        <f t="shared" ref="AB892:AB923" si="128">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9">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0">IF(AND(C924="Smelter not listed",OR(LEN(D924)=0,LEN(E924)=0)),1,0)</f>
        <v>0</v>
      </c>
      <c r="AB924" s="228" t="str">
        <f t="shared" ref="AB924:AB954" si="131">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2">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3">IF(AND(C955="Smelter not listed",OR(LEN(D955)=0,LEN(E955)=0)),1,0)</f>
        <v>0</v>
      </c>
      <c r="AB955" s="228" t="str">
        <f t="shared" ref="AB955" si="134">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5">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6">IF(AND(C956="Smelter not listed",OR(LEN(D956)=0,LEN(E956)=0)),1,0)</f>
        <v>0</v>
      </c>
      <c r="AB956" s="228" t="str">
        <f t="shared" ref="AB956:AB987" si="137">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8">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9">IF(AND(C988="Smelter not listed",OR(LEN(D988)=0,LEN(E988)=0)),1,0)</f>
        <v>0</v>
      </c>
      <c r="AB988" s="228" t="str">
        <f t="shared" ref="AB988:AB1018" si="140">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2">IF(AND(C1019="Smelter not listed",OR(LEN(D1019)=0,LEN(E1019)=0)),1,0)</f>
        <v>0</v>
      </c>
      <c r="AB1019" s="228" t="str">
        <f t="shared" ref="AB1019" si="143">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4">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5">IF(AND(C1020="Smelter not listed",OR(LEN(D1020)=0,LEN(E1020)=0)),1,0)</f>
        <v>0</v>
      </c>
      <c r="AB1020" s="228" t="str">
        <f t="shared" ref="AB1020:AB1051" si="146">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7">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8">IF(AND(C1052="Smelter not listed",OR(LEN(D1052)=0,LEN(E1052)=0)),1,0)</f>
        <v>0</v>
      </c>
      <c r="AB1052" s="228" t="str">
        <f t="shared" ref="AB1052:AB1082" si="149">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0">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1">IF(AND(C1083="Smelter not listed",OR(LEN(D1083)=0,LEN(E1083)=0)),1,0)</f>
        <v>0</v>
      </c>
      <c r="AB1083" s="228" t="str">
        <f t="shared" ref="AB1083" si="152">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3">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4">IF(AND(C1084="Smelter not listed",OR(LEN(D1084)=0,LEN(E1084)=0)),1,0)</f>
        <v>0</v>
      </c>
      <c r="AB1084" s="228" t="str">
        <f t="shared" ref="AB1084:AB1115" si="155">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6">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7">IF(AND(C1116="Smelter not listed",OR(LEN(D1116)=0,LEN(E1116)=0)),1,0)</f>
        <v>0</v>
      </c>
      <c r="AB1116" s="228" t="str">
        <f t="shared" ref="AB1116:AB1146" si="158">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9">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0">IF(AND(C1147="Smelter not listed",OR(LEN(D1147)=0,LEN(E1147)=0)),1,0)</f>
        <v>0</v>
      </c>
      <c r="AB1147" s="228" t="str">
        <f t="shared" ref="AB1147" si="161">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2">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3">IF(AND(C1148="Smelter not listed",OR(LEN(D1148)=0,LEN(E1148)=0)),1,0)</f>
        <v>0</v>
      </c>
      <c r="AB1148" s="228" t="str">
        <f t="shared" ref="AB1148:AB1179" si="164">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5">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6">IF(AND(C1180="Smelter not listed",OR(LEN(D1180)=0,LEN(E1180)=0)),1,0)</f>
        <v>0</v>
      </c>
      <c r="AB1180" s="228" t="str">
        <f t="shared" ref="AB1180:AB1210" si="167">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8">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9">IF(AND(C1211="Smelter not listed",OR(LEN(D1211)=0,LEN(E1211)=0)),1,0)</f>
        <v>0</v>
      </c>
      <c r="AB1211" s="228" t="str">
        <f t="shared" ref="AB1211" si="170">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1">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2">IF(AND(C1212="Smelter not listed",OR(LEN(D1212)=0,LEN(E1212)=0)),1,0)</f>
        <v>0</v>
      </c>
      <c r="AB1212" s="228" t="str">
        <f t="shared" ref="AB1212:AB1243" si="173">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4">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5">IF(AND(C1244="Smelter not listed",OR(LEN(D1244)=0,LEN(E1244)=0)),1,0)</f>
        <v>0</v>
      </c>
      <c r="AB1244" s="228" t="str">
        <f t="shared" ref="AB1244:AB1274" si="176">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7">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8">IF(AND(C1275="Smelter not listed",OR(LEN(D1275)=0,LEN(E1275)=0)),1,0)</f>
        <v>0</v>
      </c>
      <c r="AB1275" s="228" t="str">
        <f t="shared" ref="AB1275" si="179">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1">IF(AND(C1276="Smelter not listed",OR(LEN(D1276)=0,LEN(E1276)=0)),1,0)</f>
        <v>0</v>
      </c>
      <c r="AB1276" s="228" t="str">
        <f t="shared" ref="AB1276:AB1307" si="18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4">IF(AND(C1308="Smelter not listed",OR(LEN(D1308)=0,LEN(E1308)=0)),1,0)</f>
        <v>0</v>
      </c>
      <c r="AB1308" s="228" t="str">
        <f t="shared" ref="AB1308:AB1338" si="18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6">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7">IF(AND(C1339="Smelter not listed",OR(LEN(D1339)=0,LEN(E1339)=0)),1,0)</f>
        <v>0</v>
      </c>
      <c r="AB1339" s="228" t="str">
        <f t="shared" ref="AB1339" si="188">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9">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0">IF(AND(C1340="Smelter not listed",OR(LEN(D1340)=0,LEN(E1340)=0)),1,0)</f>
        <v>0</v>
      </c>
      <c r="AB1340" s="228" t="str">
        <f t="shared" ref="AB1340:AB1371" si="191">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2">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3">IF(AND(C1372="Smelter not listed",OR(LEN(D1372)=0,LEN(E1372)=0)),1,0)</f>
        <v>0</v>
      </c>
      <c r="AB1372" s="228" t="str">
        <f t="shared" ref="AB1372:AB1402" si="194">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5">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6">IF(AND(C1403="Smelter not listed",OR(LEN(D1403)=0,LEN(E1403)=0)),1,0)</f>
        <v>0</v>
      </c>
      <c r="AB1403" s="228" t="str">
        <f t="shared" ref="AB1403" si="197">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8">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9">IF(AND(C1404="Smelter not listed",OR(LEN(D1404)=0,LEN(E1404)=0)),1,0)</f>
        <v>0</v>
      </c>
      <c r="AB1404" s="228" t="str">
        <f t="shared" ref="AB1404:AB1435" si="200">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1">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2">IF(AND(C1436="Smelter not listed",OR(LEN(D1436)=0,LEN(E1436)=0)),1,0)</f>
        <v>0</v>
      </c>
      <c r="AB1436" s="228" t="str">
        <f t="shared" ref="AB1436:AB1466" si="203">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4">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5">IF(AND(C1467="Smelter not listed",OR(LEN(D1467)=0,LEN(E1467)=0)),1,0)</f>
        <v>0</v>
      </c>
      <c r="AB1467" s="228" t="str">
        <f t="shared" ref="AB1467" si="206">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7">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8">IF(AND(C1468="Smelter not listed",OR(LEN(D1468)=0,LEN(E1468)=0)),1,0)</f>
        <v>0</v>
      </c>
      <c r="AB1468" s="228" t="str">
        <f t="shared" ref="AB1468:AB1499" si="209">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0">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1">IF(AND(C1500="Smelter not listed",OR(LEN(D1500)=0,LEN(E1500)=0)),1,0)</f>
        <v>0</v>
      </c>
      <c r="AB1500" s="228" t="str">
        <f t="shared" ref="AB1500:AB1530" si="212">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1"/>
        <v>0</v>
      </c>
      <c r="AB1530" s="228" t="str">
        <f t="shared" si="21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3">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4">IF(AND(C1531="Smelter not listed",OR(LEN(D1531)=0,LEN(E1531)=0)),1,0)</f>
        <v>0</v>
      </c>
      <c r="AB1531" s="228" t="str">
        <f t="shared" ref="AB1531" si="215">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6">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7">IF(AND(C1532="Smelter not listed",OR(LEN(D1532)=0,LEN(E1532)=0)),1,0)</f>
        <v>0</v>
      </c>
      <c r="AB1532" s="228" t="str">
        <f t="shared" ref="AB1532:AB1563" si="218">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9">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0">IF(AND(C1564="Smelter not listed",OR(LEN(D1564)=0,LEN(E1564)=0)),1,0)</f>
        <v>0</v>
      </c>
      <c r="AB1564" s="228" t="str">
        <f t="shared" ref="AB1564:AB1594" si="221">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0"/>
        <v>0</v>
      </c>
      <c r="AB1594" s="228" t="str">
        <f t="shared" si="22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2">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3">IF(AND(C1595="Smelter not listed",OR(LEN(D1595)=0,LEN(E1595)=0)),1,0)</f>
        <v>0</v>
      </c>
      <c r="AB1595" s="228" t="str">
        <f t="shared" ref="AB1595" si="224">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5">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6">IF(AND(C1596="Smelter not listed",OR(LEN(D1596)=0,LEN(E1596)=0)),1,0)</f>
        <v>0</v>
      </c>
      <c r="AB1596" s="228" t="str">
        <f t="shared" ref="AB1596:AB1627" si="227">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8">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9">IF(AND(C1628="Smelter not listed",OR(LEN(D1628)=0,LEN(E1628)=0)),1,0)</f>
        <v>0</v>
      </c>
      <c r="AB1628" s="228" t="str">
        <f t="shared" ref="AB1628:AB1658" si="230">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9"/>
        <v>0</v>
      </c>
      <c r="AB1658" s="228" t="str">
        <f t="shared" si="23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2">IF(AND(C1659="Smelter not listed",OR(LEN(D1659)=0,LEN(E1659)=0)),1,0)</f>
        <v>0</v>
      </c>
      <c r="AB1659" s="228" t="str">
        <f t="shared" ref="AB1659" si="233">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4">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5">IF(AND(C1660="Smelter not listed",OR(LEN(D1660)=0,LEN(E1660)=0)),1,0)</f>
        <v>0</v>
      </c>
      <c r="AB1660" s="228" t="str">
        <f t="shared" ref="AB1660:AB1691" si="236">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7">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8">IF(AND(C1692="Smelter not listed",OR(LEN(D1692)=0,LEN(E1692)=0)),1,0)</f>
        <v>0</v>
      </c>
      <c r="AB1692" s="228" t="str">
        <f t="shared" ref="AB1692:AB1722" si="239">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8"/>
        <v>0</v>
      </c>
      <c r="AB1722" s="228" t="str">
        <f t="shared" si="23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0">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1">IF(AND(C1723="Smelter not listed",OR(LEN(D1723)=0,LEN(E1723)=0)),1,0)</f>
        <v>0</v>
      </c>
      <c r="AB1723" s="228" t="str">
        <f t="shared" ref="AB1723" si="242">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3">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4">IF(AND(C1724="Smelter not listed",OR(LEN(D1724)=0,LEN(E1724)=0)),1,0)</f>
        <v>0</v>
      </c>
      <c r="AB1724" s="228" t="str">
        <f t="shared" ref="AB1724:AB1755" si="245">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6">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7">IF(AND(C1756="Smelter not listed",OR(LEN(D1756)=0,LEN(E1756)=0)),1,0)</f>
        <v>0</v>
      </c>
      <c r="AB1756" s="228" t="str">
        <f t="shared" ref="AB1756:AB1786" si="248">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7"/>
        <v>0</v>
      </c>
      <c r="AB1786" s="228" t="str">
        <f t="shared" si="24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9">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0">IF(AND(C1787="Smelter not listed",OR(LEN(D1787)=0,LEN(E1787)=0)),1,0)</f>
        <v>0</v>
      </c>
      <c r="AB1787" s="228" t="str">
        <f t="shared" ref="AB1787" si="251">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2">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3">IF(AND(C1788="Smelter not listed",OR(LEN(D1788)=0,LEN(E1788)=0)),1,0)</f>
        <v>0</v>
      </c>
      <c r="AB1788" s="228" t="str">
        <f t="shared" ref="AB1788:AB1819" si="254">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5">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6">IF(AND(C1820="Smelter not listed",OR(LEN(D1820)=0,LEN(E1820)=0)),1,0)</f>
        <v>0</v>
      </c>
      <c r="AB1820" s="228" t="str">
        <f t="shared" ref="AB1820:AB1850" si="257">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6"/>
        <v>0</v>
      </c>
      <c r="AB1850" s="228" t="str">
        <f t="shared" si="25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8">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9">IF(AND(C1851="Smelter not listed",OR(LEN(D1851)=0,LEN(E1851)=0)),1,0)</f>
        <v>0</v>
      </c>
      <c r="AB1851" s="228" t="str">
        <f t="shared" ref="AB1851" si="260">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1">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2">IF(AND(C1852="Smelter not listed",OR(LEN(D1852)=0,LEN(E1852)=0)),1,0)</f>
        <v>0</v>
      </c>
      <c r="AB1852" s="228" t="str">
        <f t="shared" ref="AB1852:AB1883" si="263">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4">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5">IF(AND(C1884="Smelter not listed",OR(LEN(D1884)=0,LEN(E1884)=0)),1,0)</f>
        <v>0</v>
      </c>
      <c r="AB1884" s="228" t="str">
        <f t="shared" ref="AB1884:AB1914" si="266">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5"/>
        <v>0</v>
      </c>
      <c r="AB1914" s="228" t="str">
        <f t="shared" si="26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7">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8">IF(AND(C1915="Smelter not listed",OR(LEN(D1915)=0,LEN(E1915)=0)),1,0)</f>
        <v>0</v>
      </c>
      <c r="AB1915" s="228" t="str">
        <f t="shared" ref="AB1915" si="269">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1">IF(AND(C1916="Smelter not listed",OR(LEN(D1916)=0,LEN(E1916)=0)),1,0)</f>
        <v>0</v>
      </c>
      <c r="AB1916" s="228" t="str">
        <f t="shared" ref="AB1916:AB1947" si="27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4">IF(AND(C1948="Smelter not listed",OR(LEN(D1948)=0,LEN(E1948)=0)),1,0)</f>
        <v>0</v>
      </c>
      <c r="AB1948" s="228" t="str">
        <f t="shared" ref="AB1948:AB1978" si="27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4"/>
        <v>0</v>
      </c>
      <c r="AB1978" s="228" t="str">
        <f t="shared" si="27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6">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7">IF(AND(C1979="Smelter not listed",OR(LEN(D1979)=0,LEN(E1979)=0)),1,0)</f>
        <v>0</v>
      </c>
      <c r="AB1979" s="228" t="str">
        <f t="shared" ref="AB1979" si="278">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9">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0">IF(AND(C1980="Smelter not listed",OR(LEN(D1980)=0,LEN(E1980)=0)),1,0)</f>
        <v>0</v>
      </c>
      <c r="AB1980" s="228" t="str">
        <f t="shared" ref="AB1980:AB2011" si="281">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2">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3">IF(AND(C2012="Smelter not listed",OR(LEN(D2012)=0,LEN(E2012)=0)),1,0)</f>
        <v>0</v>
      </c>
      <c r="AB2012" s="228" t="str">
        <f t="shared" ref="AB2012:AB2042" si="284">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3"/>
        <v>0</v>
      </c>
      <c r="AB2042" s="228" t="str">
        <f t="shared" si="28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5">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6">IF(AND(C2043="Smelter not listed",OR(LEN(D2043)=0,LEN(E2043)=0)),1,0)</f>
        <v>0</v>
      </c>
      <c r="AB2043" s="228" t="str">
        <f t="shared" ref="AB2043" si="287">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8">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9">IF(AND(C2044="Smelter not listed",OR(LEN(D2044)=0,LEN(E2044)=0)),1,0)</f>
        <v>0</v>
      </c>
      <c r="AB2044" s="228" t="str">
        <f t="shared" ref="AB2044:AB2075" si="290">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1">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2">IF(AND(C2076="Smelter not listed",OR(LEN(D2076)=0,LEN(E2076)=0)),1,0)</f>
        <v>0</v>
      </c>
      <c r="AB2076" s="228" t="str">
        <f t="shared" ref="AB2076:AB2106" si="293">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2"/>
        <v>0</v>
      </c>
      <c r="AB2106" s="228" t="str">
        <f t="shared" si="29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4">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5">IF(AND(C2107="Smelter not listed",OR(LEN(D2107)=0,LEN(E2107)=0)),1,0)</f>
        <v>0</v>
      </c>
      <c r="AB2107" s="228" t="str">
        <f t="shared" ref="AB2107" si="296">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7">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8">IF(AND(C2108="Smelter not listed",OR(LEN(D2108)=0,LEN(E2108)=0)),1,0)</f>
        <v>0</v>
      </c>
      <c r="AB2108" s="228" t="str">
        <f t="shared" ref="AB2108:AB2139" si="299">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0">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1">IF(AND(C2140="Smelter not listed",OR(LEN(D2140)=0,LEN(E2140)=0)),1,0)</f>
        <v>0</v>
      </c>
      <c r="AB2140" s="228" t="str">
        <f t="shared" ref="AB2140:AB2170" si="302">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1"/>
        <v>0</v>
      </c>
      <c r="AB2170" s="228" t="str">
        <f t="shared" si="30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3">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4">IF(AND(C2171="Smelter not listed",OR(LEN(D2171)=0,LEN(E2171)=0)),1,0)</f>
        <v>0</v>
      </c>
      <c r="AB2171" s="228" t="str">
        <f t="shared" ref="AB2171" si="305">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6">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7">IF(AND(C2172="Smelter not listed",OR(LEN(D2172)=0,LEN(E2172)=0)),1,0)</f>
        <v>0</v>
      </c>
      <c r="AB2172" s="228" t="str">
        <f t="shared" ref="AB2172:AB2203" si="308">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9">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0">IF(AND(C2204="Smelter not listed",OR(LEN(D2204)=0,LEN(E2204)=0)),1,0)</f>
        <v>0</v>
      </c>
      <c r="AB2204" s="228" t="str">
        <f t="shared" ref="AB2204:AB2234" si="311">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0"/>
        <v>0</v>
      </c>
      <c r="AB2234" s="228" t="str">
        <f t="shared" si="31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2">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3">IF(AND(C2235="Smelter not listed",OR(LEN(D2235)=0,LEN(E2235)=0)),1,0)</f>
        <v>0</v>
      </c>
      <c r="AB2235" s="228" t="str">
        <f t="shared" ref="AB2235" si="314">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5">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6">IF(AND(C2236="Smelter not listed",OR(LEN(D2236)=0,LEN(E2236)=0)),1,0)</f>
        <v>0</v>
      </c>
      <c r="AB2236" s="228" t="str">
        <f t="shared" ref="AB2236:AB2267" si="317">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8">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9">IF(AND(C2268="Smelter not listed",OR(LEN(D2268)=0,LEN(E2268)=0)),1,0)</f>
        <v>0</v>
      </c>
      <c r="AB2268" s="228" t="str">
        <f t="shared" ref="AB2268:AB2298" si="320">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9"/>
        <v>0</v>
      </c>
      <c r="AB2298" s="228" t="str">
        <f t="shared" si="32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2">IF(AND(C2299="Smelter not listed",OR(LEN(D2299)=0,LEN(E2299)=0)),1,0)</f>
        <v>0</v>
      </c>
      <c r="AB2299" s="228" t="str">
        <f t="shared" ref="AB2299" si="323">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4">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5">IF(AND(C2300="Smelter not listed",OR(LEN(D2300)=0,LEN(E2300)=0)),1,0)</f>
        <v>0</v>
      </c>
      <c r="AB2300" s="228" t="str">
        <f t="shared" ref="AB2300:AB2331" si="326">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7">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8">IF(AND(C2332="Smelter not listed",OR(LEN(D2332)=0,LEN(E2332)=0)),1,0)</f>
        <v>0</v>
      </c>
      <c r="AB2332" s="228" t="str">
        <f t="shared" ref="AB2332:AB2362" si="329">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7"/>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8"/>
        <v>0</v>
      </c>
      <c r="AB2362" s="228" t="str">
        <f t="shared" si="32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0">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1">IF(AND(C2363="Smelter not listed",OR(LEN(D2363)=0,LEN(E2363)=0)),1,0)</f>
        <v>0</v>
      </c>
      <c r="AB2363" s="228" t="str">
        <f t="shared" ref="AB2363" si="332">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3">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4">IF(AND(C2364="Smelter not listed",OR(LEN(D2364)=0,LEN(E2364)=0)),1,0)</f>
        <v>0</v>
      </c>
      <c r="AB2364" s="228" t="str">
        <f t="shared" ref="AB2364:AB2395" si="335">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6">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7">IF(AND(C2396="Smelter not listed",OR(LEN(D2396)=0,LEN(E2396)=0)),1,0)</f>
        <v>0</v>
      </c>
      <c r="AB2396" s="228" t="str">
        <f t="shared" ref="AB2396:AB2426" si="338">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6"/>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7"/>
        <v>0</v>
      </c>
      <c r="AB2426" s="228" t="str">
        <f t="shared" si="33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9">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0">IF(AND(C2427="Smelter not listed",OR(LEN(D2427)=0,LEN(E2427)=0)),1,0)</f>
        <v>0</v>
      </c>
      <c r="AB2427" s="228" t="str">
        <f t="shared" ref="AB2427" si="341">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2">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3">IF(AND(C2428="Smelter not listed",OR(LEN(D2428)=0,LEN(E2428)=0)),1,0)</f>
        <v>0</v>
      </c>
      <c r="AB2428" s="228" t="str">
        <f t="shared" ref="AB2428:AB2459" si="344">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5">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6">IF(AND(C2460="Smelter not listed",OR(LEN(D2460)=0,LEN(E2460)=0)),1,0)</f>
        <v>0</v>
      </c>
      <c r="AB2460" s="228" t="str">
        <f t="shared" ref="AB2460:AB2490" si="347">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5"/>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si="347"/>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8">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 t="shared" ref="AB2491" si="349">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6"/>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0">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1">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1"/>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1"/>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A7FC1A-0D98-40C8-863D-3DDF7B9A45D6}"/>
    </customSheetView>
  </customSheetViews>
  <mergeCells count="3">
    <mergeCell ref="J2:O2"/>
    <mergeCell ref="B3:E3"/>
    <mergeCell ref="G3:I3"/>
  </mergeCells>
  <conditionalFormatting sqref="B18:B2504">
    <cfRule type="expression" dxfId="18" priority="8" stopIfTrue="1">
      <formula>IF(B18="",TRUE)</formula>
    </cfRule>
    <cfRule type="expression" dxfId="17" priority="9" stopIfTrue="1">
      <formula>IF(AND(COUNTIF(MetalSmelter,B18&amp;C18)=0,LEN(C18)&gt;0),TRUE,FALSE)</formula>
    </cfRule>
  </conditionalFormatting>
  <conditionalFormatting sqref="C18:C2504">
    <cfRule type="expression" dxfId="14" priority="16" stopIfTrue="1">
      <formula>IF(AND(B18&lt;&gt;"",C18=""),TRUE)</formula>
    </cfRule>
  </conditionalFormatting>
  <conditionalFormatting sqref="D5:D2504">
    <cfRule type="expression" dxfId="13" priority="4" stopIfTrue="1">
      <formula>IF(AND(LEN($C5)&gt;0,AND($C5&lt;&gt;"Smelter Not Listed",ISBLANK($D5))),1,0)</formula>
    </cfRule>
    <cfRule type="expression" dxfId="12" priority="5" stopIfTrue="1">
      <formula>IF(AND(D5="",$C5=$X$4),TRUE)</formula>
    </cfRule>
    <cfRule type="expression" dxfId="11" priority="6" stopIfTrue="1">
      <formula>IF(FIND("!",D5),TRUE)</formula>
    </cfRule>
  </conditionalFormatting>
  <conditionalFormatting sqref="E5:E2504">
    <cfRule type="expression" dxfId="10" priority="2" stopIfTrue="1">
      <formula>IF(AND(E5="",$C5=$X$4),TRUE)</formula>
    </cfRule>
    <cfRule type="expression" dxfId="9" priority="3" stopIfTrue="1">
      <formula>IF(FIND("!",E5),TRUE)</formula>
    </cfRule>
  </conditionalFormatting>
  <conditionalFormatting sqref="F5:F2504">
    <cfRule type="expression" dxfId="8" priority="1" stopIfTrue="1">
      <formula>IF(AND(LEN($A5)&gt;0,$A5&lt;&gt;$F5),TRUE,FALSE)</formula>
    </cfRule>
  </conditionalFormatting>
  <conditionalFormatting sqref="G5:G2504">
    <cfRule type="expression" dxfId="7" priority="7" stopIfTrue="1">
      <formula>IF(FIND("Enter smelter details",G5),TRUE)</formula>
    </cfRule>
  </conditionalFormatting>
  <conditionalFormatting sqref="R5:R2504">
    <cfRule type="expression" dxfId="6" priority="14" stopIfTrue="1">
      <formula>IF(AND(R5="",$C5=$X$4),TRUE)</formula>
    </cfRule>
    <cfRule type="expression" dxfId="5" priority="15"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3" stopIfTrue="1" id="{3A2C08C1-A3CB-4039-99D1-6146192A6F94}">
            <xm:f>IF(OR(AND(B18="Tantalum",Declaration!$P$38=""),AND(B18="Tin",Declaration!$P$39=""),AND(B18="Gold",Declaration!$P$40=""),AND(B18="Tungsten",Declaration!$P$41="")),TRUE,FALSE)</xm:f>
            <x14:dxf>
              <fill>
                <patternFill>
                  <bgColor rgb="FFFF0000"/>
                </patternFill>
              </fill>
            </x14:dxf>
          </x14:cfRule>
          <xm:sqref>B18:B2504</xm:sqref>
        </x14:conditionalFormatting>
        <x14:conditionalFormatting xmlns:xm="http://schemas.microsoft.com/office/excel/2006/main">
          <x14:cfRule type="expression" priority="11" stopIfTrue="1" id="{4DF03B03-3E0F-40B2-A5D1-B1DA6639A4FD}">
            <xm:f>IF(OR(AND(B18="Tantalum",Declaration!$P$38=""),AND(B18="Tin",Declaration!$P$39=""),AND(B18="Gold",Declaration!$P$40=""),AND(B18="Tungsten",Declaration!$P$41="")),TRUE,FALSE)</xm:f>
            <x14:dxf>
              <fill>
                <patternFill>
                  <bgColor rgb="FFFF0000"/>
                </patternFill>
              </fill>
            </x14:dxf>
          </x14:cfRule>
          <xm:sqref>C18:C2504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D66" sqref="D66"/>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Um sicherzustellen, dass alle erforderlichen Felder vor dem Versand an ihren Kunden ausgefüllt sind, alle rot markierten Felder beachten.</v>
      </c>
      <c r="B1" s="391"/>
      <c r="C1" s="391"/>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f ca="1">IF(H70=0,"0",H70)</f>
        <v>2</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vosla GmbH</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vosla GmbH</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Hartmut LUDWIG ( Mr. )</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hartmut.ludwig@vosla.com</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2" t="str">
        <f>Declaration!D17</f>
        <v>+49 3741 396 337</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Carsten RIEDEL ( Mr. )</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carsten.riedel@vosla.com</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45839</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Wolfram  (*)</v>
      </c>
      <c r="B17" s="89" t="str">
        <f>Declaration!D29</f>
        <v>Yes</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Wolfram  (*)</v>
      </c>
      <c r="B22" s="89" t="str">
        <f>IF($B$17="Yes",Declaration!D35,0)</f>
        <v>Yes</v>
      </c>
      <c r="C22" s="89" t="str">
        <f ca="1">IF(H22=1,J22,I22)</f>
        <v>Vollständig</v>
      </c>
      <c r="D22" s="97" t="str">
        <f>IF(H22=1,"Click here to answer question 2 for Tungsten","")</f>
        <v/>
      </c>
      <c r="E22" s="20" t="s">
        <v>780</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Wolfram  (*)</v>
      </c>
      <c r="B27" s="89" t="str">
        <f>IF(AND($B$17="Yes",$B$22="Yes"),Declaration!D41,0)</f>
        <v>No</v>
      </c>
      <c r="C27" s="89" t="str">
        <f ca="1">IF(H27=1,J27,I27)</f>
        <v>Vollständig</v>
      </c>
      <c r="D27" s="97" t="str">
        <f>IF(H27=1,"Click here to answer question 3 for Tungsten","")</f>
        <v/>
      </c>
      <c r="E27" s="20" t="s">
        <v>780</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Wolfram  (*)</v>
      </c>
      <c r="B32" s="89" t="str">
        <f>IF(AND($B$17="Yes",$B$22="Yes"),Declaration!D47,0)</f>
        <v>No</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Unknown</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Wolfram  (*)</v>
      </c>
      <c r="B37" s="89" t="str">
        <f>IF(AND($B$17="Yes",$B$22="Yes"),Declaration!D53,0)</f>
        <v>No</v>
      </c>
      <c r="C37" s="89" t="str">
        <f ca="1">IF(H37=1,J37,I37)</f>
        <v>Vollständig</v>
      </c>
      <c r="D37" s="260" t="str">
        <f>IF(H37=1,"Click here to answer question 5 for Tungsten","")</f>
        <v/>
      </c>
      <c r="E37" s="20" t="s">
        <v>1273</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7">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7" t="str">
        <f>IF(AND($B$15="Yes",$B$20="Yes"),Declaration!D57,0)</f>
        <v>Greater than 75%</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7">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Wolfram  (*)</v>
      </c>
      <c r="B42" s="267" t="str">
        <f>IF(AND($B$17="Yes",$B$22="Yes"),Declaration!D59,0)</f>
        <v>100%</v>
      </c>
      <c r="C42" s="89" t="str">
        <f ca="1">IF(H42=1,J42,I42)</f>
        <v>Vollständig</v>
      </c>
      <c r="D42" s="261" t="str">
        <f>IF(H42=1,"Click here to answer question 6 for Tungsten","")</f>
        <v/>
      </c>
      <c r="E42" s="20" t="s">
        <v>779</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Wolfram  (*)</v>
      </c>
      <c r="B47" s="89" t="str">
        <f>IF(AND($B$17="Yes",$B$22="Yes"),Declaration!D65,0)</f>
        <v>Yes</v>
      </c>
      <c r="C47" s="89" t="str">
        <f ca="1">IF(H47=1,J47,I47)</f>
        <v>Vollständig</v>
      </c>
      <c r="D47" s="260" t="str">
        <f>IF(H47=1,"Click here to answer question 7 for Tungsten","")</f>
        <v/>
      </c>
      <c r="E47" s="20" t="s">
        <v>1269</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Wolfram  (*)</v>
      </c>
      <c r="B52" s="89" t="str">
        <f>IF(AND($B$17="Yes",$B$22="Yes"),Declaration!D71,0)</f>
        <v>Yes</v>
      </c>
      <c r="C52" s="89" t="str">
        <f ca="1">IF(H52=1,J52,I52)</f>
        <v>Vollständig</v>
      </c>
      <c r="D52" s="261" t="str">
        <f>IF(H52=1,"Click here to answer question 8 for Tungsten","")</f>
        <v/>
      </c>
      <c r="E52" s="20" t="s">
        <v>780</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https://www.vosla.com/downloads/</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Yes, with the EU</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 xml:space="preserve">Geben Sie im Reiter „Smelter List“ eine Liste von Zinn-Schmelzhütten ein, die Material für die Lieferkette beitragen    </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 xml:space="preserve">Geben Sie im Reiter „Smelter List“ eine Liste von Tungsten-Schmelzhütten ein, die Material für die Lieferkette beitragen  </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2</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Abschluss nur erforderlich, wenn die Ebene "Produkt (oder eine Liste von Produkten)" auf der "Erklärung" Arbeitsblatt ausgewählt wurde-</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Ludwig, Hartmut</cp:lastModifiedBy>
  <cp:lastPrinted>2015-04-21T20:47:43Z</cp:lastPrinted>
  <dcterms:created xsi:type="dcterms:W3CDTF">2010-06-21T21:00:23Z</dcterms:created>
  <dcterms:modified xsi:type="dcterms:W3CDTF">2025-08-18T13:45:57Z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